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chris\Documents\Resources\Base Tabs\Customer Templates\"/>
    </mc:Choice>
  </mc:AlternateContent>
  <xr:revisionPtr revIDLastSave="0" documentId="13_ncr:1_{019438D3-A4DB-4F9F-BC2A-34D1D5D8B659}" xr6:coauthVersionLast="45" xr6:coauthVersionMax="45" xr10:uidLastSave="{00000000-0000-0000-0000-000000000000}"/>
  <bookViews>
    <workbookView xWindow="-120" yWindow="-120" windowWidth="29040" windowHeight="15840" xr2:uid="{893F272D-1600-44B1-9032-03B44FF1586B}"/>
  </bookViews>
  <sheets>
    <sheet name="Sheet1" sheetId="1" r:id="rId1"/>
    <sheet name="Temp Rangenames" sheetId="2" r:id="rId2"/>
  </sheets>
  <definedNames>
    <definedName name="CustomerName">'Temp Rangenames'!$B$1</definedName>
    <definedName name="DocContentSOW">Sheet1!$F$2:$H$85</definedName>
    <definedName name="LaborHours">Sheet1!$M$9:$M$86</definedName>
    <definedName name="LaborType">Sheet1!$N$9:$N$86</definedName>
    <definedName name="OTFactor">Sheet1!$R$3</definedName>
    <definedName name="OTHolidayPercent">Sheet1!$E$71</definedName>
    <definedName name="OTPercent">Sheet1!$E$70</definedName>
    <definedName name="ProjMgmnt">Sheet1!$E$67</definedName>
    <definedName name="SellerCompanyShort">'Temp Rangenames'!$B$2</definedName>
    <definedName name="TechHours">Sheet1!$M$3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1" l="1"/>
  <c r="M45" i="1" s="1"/>
  <c r="G45" i="1"/>
  <c r="F45" i="1"/>
  <c r="M28" i="1"/>
  <c r="J28" i="1"/>
  <c r="G28" i="1"/>
  <c r="F28" i="1"/>
  <c r="J27" i="1"/>
  <c r="M27" i="1" s="1"/>
  <c r="G27" i="1"/>
  <c r="F27" i="1"/>
  <c r="J25" i="1"/>
  <c r="M25" i="1" s="1"/>
  <c r="G25" i="1"/>
  <c r="F25" i="1"/>
  <c r="J38" i="1" l="1"/>
  <c r="M38" i="1" s="1"/>
  <c r="G38" i="1"/>
  <c r="F38" i="1"/>
  <c r="J35" i="1"/>
  <c r="M35" i="1" s="1"/>
  <c r="G35" i="1"/>
  <c r="F35" i="1"/>
  <c r="J36" i="1"/>
  <c r="M36" i="1" s="1"/>
  <c r="G36" i="1"/>
  <c r="F36" i="1"/>
  <c r="G15" i="1"/>
  <c r="G16" i="1"/>
  <c r="J18" i="1"/>
  <c r="M18" i="1" s="1"/>
  <c r="G18" i="1"/>
  <c r="F18" i="1"/>
  <c r="J17" i="1"/>
  <c r="M17" i="1" s="1"/>
  <c r="G17" i="1"/>
  <c r="F17" i="1"/>
  <c r="J16" i="1"/>
  <c r="M16" i="1" s="1"/>
  <c r="F16" i="1"/>
  <c r="J11" i="1"/>
  <c r="M11" i="1" s="1"/>
  <c r="G11" i="1"/>
  <c r="F11" i="1"/>
  <c r="G70" i="1" l="1"/>
  <c r="G71" i="1"/>
  <c r="G66" i="1"/>
  <c r="G69" i="1"/>
  <c r="G72" i="1"/>
  <c r="G75" i="1"/>
  <c r="F71" i="1"/>
  <c r="F70" i="1"/>
  <c r="F69" i="1" s="1"/>
  <c r="M41" i="1" l="1"/>
  <c r="M40" i="1"/>
  <c r="G41" i="1" l="1"/>
  <c r="F41" i="1"/>
  <c r="G40" i="1"/>
  <c r="F40" i="1"/>
  <c r="G12" i="1" l="1"/>
  <c r="G52" i="1"/>
  <c r="G56" i="1"/>
  <c r="G3" i="1"/>
  <c r="F67" i="1"/>
  <c r="G67" i="1"/>
  <c r="G47" i="1"/>
  <c r="G57" i="1"/>
  <c r="G59" i="1"/>
  <c r="G51" i="1"/>
  <c r="G48" i="1"/>
  <c r="G7" i="1"/>
  <c r="G22" i="1"/>
  <c r="G21" i="1"/>
  <c r="G20" i="1"/>
  <c r="G19" i="1"/>
  <c r="G14" i="1"/>
  <c r="G37" i="1"/>
  <c r="G34" i="1"/>
  <c r="G33" i="1"/>
  <c r="G32" i="1"/>
  <c r="G31" i="1"/>
  <c r="G30" i="1"/>
  <c r="G29" i="1"/>
  <c r="G26" i="1"/>
  <c r="G24" i="1"/>
  <c r="G10" i="1"/>
  <c r="G46" i="1"/>
  <c r="G44" i="1"/>
  <c r="G43" i="1"/>
  <c r="G9" i="1"/>
  <c r="F37" i="1"/>
  <c r="F34" i="1"/>
  <c r="F33" i="1"/>
  <c r="F32" i="1"/>
  <c r="F31" i="1"/>
  <c r="F30" i="1"/>
  <c r="F29" i="1"/>
  <c r="F26" i="1"/>
  <c r="F24" i="1"/>
  <c r="F22" i="1"/>
  <c r="F21" i="1"/>
  <c r="F20" i="1"/>
  <c r="F19" i="1"/>
  <c r="F15" i="1"/>
  <c r="F14" i="1"/>
  <c r="F12" i="1"/>
  <c r="F10" i="1"/>
  <c r="F9" i="1"/>
  <c r="J14" i="1"/>
  <c r="M14" i="1" s="1"/>
  <c r="J24" i="1"/>
  <c r="M24" i="1" s="1"/>
  <c r="J37" i="1"/>
  <c r="M37" i="1" s="1"/>
  <c r="J34" i="1"/>
  <c r="M34" i="1" s="1"/>
  <c r="J33" i="1"/>
  <c r="M33" i="1" s="1"/>
  <c r="J32" i="1"/>
  <c r="M32" i="1" s="1"/>
  <c r="J31" i="1"/>
  <c r="M31" i="1" s="1"/>
  <c r="J30" i="1"/>
  <c r="M30" i="1" s="1"/>
  <c r="J29" i="1"/>
  <c r="M29" i="1" s="1"/>
  <c r="J26" i="1"/>
  <c r="M26" i="1" s="1"/>
  <c r="J22" i="1"/>
  <c r="M22" i="1" s="1"/>
  <c r="J21" i="1"/>
  <c r="M21" i="1" s="1"/>
  <c r="J20" i="1"/>
  <c r="M20" i="1" s="1"/>
  <c r="J19" i="1"/>
  <c r="M19" i="1" s="1"/>
  <c r="J15" i="1"/>
  <c r="M15" i="1" s="1"/>
  <c r="J12" i="1"/>
  <c r="M12" i="1" s="1"/>
  <c r="J10" i="1"/>
  <c r="M10" i="1" s="1"/>
  <c r="J9" i="1"/>
  <c r="M9" i="1" s="1"/>
  <c r="J44" i="1" l="1"/>
  <c r="J43" i="1"/>
  <c r="E64" i="1" l="1"/>
  <c r="J84" i="1" l="1"/>
  <c r="M84" i="1" s="1"/>
  <c r="J82" i="1"/>
  <c r="M82" i="1" s="1"/>
  <c r="J80" i="1"/>
  <c r="M80" i="1" s="1"/>
  <c r="J77" i="1"/>
  <c r="M77" i="1" s="1"/>
  <c r="J76" i="1"/>
  <c r="M76" i="1" s="1"/>
  <c r="J74" i="1"/>
  <c r="M74" i="1" s="1"/>
  <c r="J73" i="1"/>
  <c r="M73" i="1" s="1"/>
  <c r="G73" i="1"/>
  <c r="J64" i="1"/>
  <c r="M64" i="1" s="1"/>
  <c r="J46" i="1"/>
  <c r="M46" i="1" s="1"/>
  <c r="M44" i="1"/>
  <c r="M43" i="1"/>
  <c r="K6" i="1" l="1"/>
  <c r="M6" i="1" s="1"/>
  <c r="A91" i="1" s="1"/>
  <c r="G74" i="1" l="1"/>
  <c r="F57" i="1" l="1"/>
  <c r="F3" i="1"/>
  <c r="F84" i="1" l="1"/>
  <c r="F85" i="1" s="1"/>
  <c r="G84" i="1"/>
  <c r="G82" i="1"/>
  <c r="F82" i="1"/>
  <c r="F83" i="1" s="1"/>
  <c r="G80" i="1"/>
  <c r="F80" i="1"/>
  <c r="F81" i="1" s="1"/>
  <c r="G77" i="1"/>
  <c r="G76" i="1"/>
  <c r="F77" i="1"/>
  <c r="F78" i="1" s="1"/>
  <c r="F79" i="1" s="1"/>
  <c r="F76" i="1"/>
  <c r="F74" i="1"/>
  <c r="F73" i="1"/>
  <c r="F66" i="1"/>
  <c r="F49" i="1"/>
  <c r="F48" i="1" s="1"/>
  <c r="F47" i="1" s="1"/>
  <c r="G64" i="1"/>
  <c r="G63" i="1"/>
  <c r="G62" i="1"/>
  <c r="F62" i="1"/>
  <c r="F64" i="1"/>
  <c r="F63" i="1"/>
  <c r="F61" i="1"/>
  <c r="F60" i="1"/>
  <c r="F56" i="1"/>
  <c r="F55" i="1"/>
  <c r="F54" i="1"/>
  <c r="F53" i="1"/>
  <c r="F52" i="1"/>
  <c r="F46" i="1"/>
  <c r="F44" i="1"/>
  <c r="F43" i="1"/>
  <c r="K3" i="1" l="1"/>
  <c r="M3" i="1" s="1"/>
  <c r="F51" i="1"/>
  <c r="F75" i="1"/>
  <c r="F72" i="1"/>
  <c r="K5" i="1" l="1"/>
  <c r="M5" i="1" s="1"/>
  <c r="A90" i="1" s="1"/>
  <c r="R3" i="1"/>
  <c r="A88" i="1"/>
  <c r="K4" i="1"/>
  <c r="M4" i="1" s="1"/>
  <c r="A89" i="1" s="1"/>
  <c r="H88" i="1" l="1"/>
  <c r="F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author>
    <author>Author</author>
    <author>Brian Cors</author>
  </authors>
  <commentList>
    <comment ref="D1" authorId="0" shapeId="0" xr:uid="{E5CEC267-26CB-4116-BD72-9BF4179D600D}">
      <text>
        <r>
          <rPr>
            <sz val="9"/>
            <color indexed="81"/>
            <rFont val="Tahoma"/>
            <family val="2"/>
          </rPr>
          <t>JumpPoint</t>
        </r>
      </text>
    </comment>
    <comment ref="D6" authorId="0" shapeId="0" xr:uid="{23F1FFB6-BBD5-4C22-9236-2F935E910484}">
      <text>
        <r>
          <rPr>
            <sz val="9"/>
            <color indexed="81"/>
            <rFont val="Tahoma"/>
            <family val="2"/>
          </rPr>
          <t>JumpPoint</t>
        </r>
      </text>
    </comment>
    <comment ref="D50" authorId="0" shapeId="0" xr:uid="{6182A1DF-A088-4313-BA1F-7B0261A99BD1}">
      <text>
        <r>
          <rPr>
            <sz val="9"/>
            <color indexed="81"/>
            <rFont val="Tahoma"/>
            <family val="2"/>
          </rPr>
          <t>JumpPoint</t>
        </r>
      </text>
    </comment>
    <comment ref="D58" authorId="0" shapeId="0" xr:uid="{7B91EB44-6424-4BF4-9EBD-FE6792A21383}">
      <text>
        <r>
          <rPr>
            <sz val="9"/>
            <color indexed="81"/>
            <rFont val="Tahoma"/>
            <family val="2"/>
          </rPr>
          <t>JumpPoint</t>
        </r>
      </text>
    </comment>
    <comment ref="D65" authorId="0" shapeId="0" xr:uid="{B6ECAC60-4DCF-487A-8765-EE9B3AB8F05E}">
      <text>
        <r>
          <rPr>
            <sz val="9"/>
            <color indexed="81"/>
            <rFont val="Tahoma"/>
            <family val="2"/>
          </rPr>
          <t>JumpPoint</t>
        </r>
      </text>
    </comment>
    <comment ref="A87" authorId="1" shapeId="0" xr:uid="{03D409B5-8148-42C6-B3A2-0CE78ABAC1C6}">
      <text>
        <r>
          <rPr>
            <sz val="8"/>
            <color indexed="81"/>
            <rFont val="Tahoma"/>
            <family val="2"/>
          </rPr>
          <t>PartDetailSection</t>
        </r>
      </text>
    </comment>
    <comment ref="A93" authorId="2" shapeId="0" xr:uid="{E93AD142-6604-4432-949F-FFAE3CB58D1F}">
      <text>
        <r>
          <rPr>
            <sz val="9"/>
            <color indexed="81"/>
            <rFont val="Tahoma"/>
            <family val="2"/>
          </rPr>
          <t>HiddenSection</t>
        </r>
      </text>
    </comment>
  </commentList>
</comments>
</file>

<file path=xl/sharedStrings.xml><?xml version="1.0" encoding="utf-8"?>
<sst xmlns="http://schemas.openxmlformats.org/spreadsheetml/2006/main" count="274" uniqueCount="145">
  <si>
    <t>Dynamic Discovery &amp; Scope of Work</t>
  </si>
  <si>
    <t>Include</t>
  </si>
  <si>
    <t>Scope of Work Detail</t>
  </si>
  <si>
    <t>Heading1</t>
  </si>
  <si>
    <t>Discovery session date:</t>
  </si>
  <si>
    <t>Paragraph</t>
  </si>
  <si>
    <t>Bullet</t>
  </si>
  <si>
    <t>Heading2</t>
  </si>
  <si>
    <t>SubBullet</t>
  </si>
  <si>
    <t>Customer Responsibilities</t>
  </si>
  <si>
    <t>Yes</t>
  </si>
  <si>
    <t>Customer will provide a point of contact that will be responsible for attending meetings, representing the customer changes, and making any necessary decisions.  This individual will be our authority for making decisions even if they affect, due dates, financial repurcussions or changes in configuration and setup.</t>
  </si>
  <si>
    <t>Customer will provide an extension list of all of their users.</t>
  </si>
  <si>
    <t>Customer understands that there will be information, data, and tasks that need to be performed on their end by the date/time according to their project plan.  Tasks or information that are not done in time will result in delays and will affect the installation date.</t>
  </si>
  <si>
    <t>Network Responsibilites</t>
  </si>
  <si>
    <t>Network Information</t>
  </si>
  <si>
    <t>Standard Network Approach:</t>
  </si>
  <si>
    <t>Our standard approach to include a Network Assessment, and work assumes proper security, access, and customer support as required</t>
  </si>
  <si>
    <t>Customer Provided Network Approach:</t>
  </si>
  <si>
    <t>Customer will be responsible for the network requirements and for on-going maintenance including proper security, access, and customer support as required</t>
  </si>
  <si>
    <t>Heading2+Break</t>
  </si>
  <si>
    <t>ImageFile</t>
  </si>
  <si>
    <t>Project Management</t>
  </si>
  <si>
    <t xml:space="preserve">Project Management: </t>
  </si>
  <si>
    <t xml:space="preserve">Expected Project Duration (weeks): </t>
  </si>
  <si>
    <t>Post Cut Support</t>
  </si>
  <si>
    <t>Cutover Support</t>
  </si>
  <si>
    <t>Technician Support Hours:</t>
  </si>
  <si>
    <t>Content Type</t>
  </si>
  <si>
    <t>None</t>
  </si>
  <si>
    <t xml:space="preserve">Data switch type: </t>
  </si>
  <si>
    <t xml:space="preserve">Number of POE ports configured: </t>
  </si>
  <si>
    <t xml:space="preserve">Number of POE ports provided: </t>
  </si>
  <si>
    <t>Maximum (10) users per class</t>
  </si>
  <si>
    <t>Class length (1) hour with (.5) hour break</t>
  </si>
  <si>
    <t>Up to (4) supervisors per class</t>
  </si>
  <si>
    <t>Up to (2) admin per class</t>
  </si>
  <si>
    <t>Customer responsible for trunking changes</t>
  </si>
  <si>
    <t>Customer will provide a point of contact</t>
  </si>
  <si>
    <t>Project plan included?</t>
  </si>
  <si>
    <t>Customer will provide an extensions for all users</t>
  </si>
  <si>
    <t>Customer must provide information, tasks</t>
  </si>
  <si>
    <t>Qty Calcd</t>
  </si>
  <si>
    <t>Qty Adj</t>
  </si>
  <si>
    <t>Part Number</t>
  </si>
  <si>
    <t>Description</t>
  </si>
  <si>
    <t>Hidden Section</t>
  </si>
  <si>
    <t>Content</t>
  </si>
  <si>
    <t>Please Enter</t>
  </si>
  <si>
    <t>Who will set and test the phones?</t>
  </si>
  <si>
    <t>Insert the network diagram here &gt;&gt;&gt;&gt;&gt;&gt;&gt;&gt;&gt;&gt;</t>
  </si>
  <si>
    <t>Hours/Qty</t>
  </si>
  <si>
    <t>Hours Adj</t>
  </si>
  <si>
    <t>Total Qty</t>
  </si>
  <si>
    <t>Total Hours</t>
  </si>
  <si>
    <t>Type</t>
  </si>
  <si>
    <t>Tech</t>
  </si>
  <si>
    <t>Configured</t>
  </si>
  <si>
    <t>Designer</t>
  </si>
  <si>
    <t>PM</t>
  </si>
  <si>
    <t>Trainer</t>
  </si>
  <si>
    <t xml:space="preserve">End-User Training 1 Hour Classes: </t>
  </si>
  <si>
    <t xml:space="preserve">Train the Trainer 4 Hour Classes: </t>
  </si>
  <si>
    <t xml:space="preserve">Agent Training 1 Hour Classes: </t>
  </si>
  <si>
    <t xml:space="preserve">Supervisor Training 2 Hour Classes: </t>
  </si>
  <si>
    <t xml:space="preserve">System Admin Training 2 Hour Classes: </t>
  </si>
  <si>
    <t>Technician Labor</t>
  </si>
  <si>
    <t>Designer Labor</t>
  </si>
  <si>
    <t>Training Labor</t>
  </si>
  <si>
    <t>Y</t>
  </si>
  <si>
    <t>Up to (10) agents per class</t>
  </si>
  <si>
    <t>MSRP</t>
  </si>
  <si>
    <t>Sell Price</t>
  </si>
  <si>
    <t>Cost</t>
  </si>
  <si>
    <t>Ext MSRP</t>
  </si>
  <si>
    <t>Ext Sell</t>
  </si>
  <si>
    <t>Ext Cost</t>
  </si>
  <si>
    <t>Item Cat</t>
  </si>
  <si>
    <t>Item Qty</t>
  </si>
  <si>
    <t>Price Cat</t>
  </si>
  <si>
    <t>Disc Cat</t>
  </si>
  <si>
    <t>Rack Type</t>
  </si>
  <si>
    <t>Rack Ht</t>
  </si>
  <si>
    <t>Shelves</t>
  </si>
  <si>
    <t>Volt Amps</t>
  </si>
  <si>
    <t>MDF</t>
  </si>
  <si>
    <t>Install Hrs</t>
  </si>
  <si>
    <t>Design Hrs</t>
  </si>
  <si>
    <t>Labor Cat</t>
  </si>
  <si>
    <t>Vendor</t>
  </si>
  <si>
    <t>ProductCat</t>
  </si>
  <si>
    <t>WriteIn</t>
  </si>
  <si>
    <t>Services</t>
  </si>
  <si>
    <t>Labor Summary…</t>
  </si>
  <si>
    <t>Communication System</t>
  </si>
  <si>
    <t>Devices</t>
  </si>
  <si>
    <t>IP phones</t>
  </si>
  <si>
    <t>Analog phones</t>
  </si>
  <si>
    <t>Speakerphones</t>
  </si>
  <si>
    <t>Softphones</t>
  </si>
  <si>
    <t>Consoles</t>
  </si>
  <si>
    <t>Applications</t>
  </si>
  <si>
    <t>Voice Mail</t>
  </si>
  <si>
    <t>e911</t>
  </si>
  <si>
    <t>Paging/Analog zones</t>
  </si>
  <si>
    <t>Contact Center</t>
  </si>
  <si>
    <t>Call Recording</t>
  </si>
  <si>
    <t>IVR (Interactive Voice Response)</t>
  </si>
  <si>
    <t>SellerCompanyShort</t>
  </si>
  <si>
    <t>CustomerName</t>
  </si>
  <si>
    <t>Acme</t>
  </si>
  <si>
    <t>Tech Solutions, Inc.</t>
  </si>
  <si>
    <t>Carrier Services</t>
  </si>
  <si>
    <t>Solution Overview</t>
  </si>
  <si>
    <t>SIP channels</t>
  </si>
  <si>
    <t>PRI circuits</t>
  </si>
  <si>
    <t>Analog trunks</t>
  </si>
  <si>
    <t>Solution Diagram</t>
  </si>
  <si>
    <t>Professional Services</t>
  </si>
  <si>
    <t>Enter Hours…</t>
  </si>
  <si>
    <t>Write-in application</t>
  </si>
  <si>
    <t>Total locations:</t>
  </si>
  <si>
    <t>Training</t>
  </si>
  <si>
    <t>Overtime</t>
  </si>
  <si>
    <t>Technician overtime (percent of hours)</t>
  </si>
  <si>
    <t>Technician Sunday/Holiday (percent of hours)</t>
  </si>
  <si>
    <t>Overtime factor:</t>
  </si>
  <si>
    <t>Univerge SV9100</t>
  </si>
  <si>
    <t>Univerge SV9300</t>
  </si>
  <si>
    <t>Univerge 3C</t>
  </si>
  <si>
    <t>Univerge Blue Connect</t>
  </si>
  <si>
    <t>Digital Phones</t>
  </si>
  <si>
    <t>SIP Phones</t>
  </si>
  <si>
    <t>Wireless DECT Phones</t>
  </si>
  <si>
    <t>Doorphones</t>
  </si>
  <si>
    <t>Global Navigator</t>
  </si>
  <si>
    <t>Automatic Call Distribution</t>
  </si>
  <si>
    <t>InHotel</t>
  </si>
  <si>
    <t>Nurse Call</t>
  </si>
  <si>
    <t>InMail Email Client</t>
  </si>
  <si>
    <t>InUC Embedded Browser</t>
  </si>
  <si>
    <t>UC Suite Desktop Client</t>
  </si>
  <si>
    <t>UC Suite Web Client</t>
  </si>
  <si>
    <t>Mobile Extension</t>
  </si>
  <si>
    <t>T1 circuits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</si>
</sst>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rgb="FF0000FF"/>
      <name val="Calibri"/>
      <family val="2"/>
      <scheme val="minor"/>
    </font>
    <font>
      <u/>
      <sz val="11"/>
      <color theme="1"/>
      <name val="Calibri"/>
      <family val="2"/>
      <scheme val="minor"/>
    </font>
    <font>
      <sz val="8"/>
      <color indexed="81"/>
      <name val="Tahoma"/>
      <family val="2"/>
    </font>
    <font>
      <sz val="9"/>
      <color indexed="81"/>
      <name val="Tahoma"/>
      <family val="2"/>
    </font>
    <font>
      <b/>
      <sz val="14"/>
      <color theme="0"/>
      <name val="Calibri"/>
      <family val="2"/>
    </font>
    <font>
      <b/>
      <sz val="13"/>
      <color theme="1"/>
      <name val="Calibri"/>
      <family val="2"/>
      <scheme val="minor"/>
    </font>
    <font>
      <sz val="11"/>
      <color rgb="FF0000FF"/>
      <name val="Calibri"/>
      <family val="2"/>
      <scheme val="minor"/>
    </font>
    <font>
      <i/>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s>
  <fills count="4">
    <fill>
      <patternFill patternType="none"/>
    </fill>
    <fill>
      <patternFill patternType="gray125"/>
    </fill>
    <fill>
      <gradientFill degree="90">
        <stop position="0">
          <color rgb="FF458BD8"/>
        </stop>
        <stop position="1">
          <color rgb="FF113051"/>
        </stop>
      </gradientFill>
    </fill>
    <fill>
      <patternFill patternType="solid">
        <fgColor rgb="FFC0D8F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xf numFmtId="0" fontId="1" fillId="0" borderId="1">
      <alignment horizontal="center" vertical="top"/>
      <protection locked="0"/>
    </xf>
    <xf numFmtId="0" fontId="9" fillId="0" borderId="0"/>
  </cellStyleXfs>
  <cellXfs count="43">
    <xf numFmtId="0" fontId="0" fillId="0" borderId="0" xfId="0"/>
    <xf numFmtId="0" fontId="0" fillId="0" borderId="0" xfId="0" applyAlignment="1">
      <alignment vertical="top"/>
    </xf>
    <xf numFmtId="0" fontId="1" fillId="0" borderId="1" xfId="0" applyFont="1" applyBorder="1" applyAlignment="1" applyProtection="1">
      <alignment horizontal="center" vertical="top"/>
      <protection locked="0"/>
    </xf>
    <xf numFmtId="14" fontId="1" fillId="0" borderId="1" xfId="0" applyNumberFormat="1" applyFont="1" applyBorder="1" applyAlignment="1" applyProtection="1">
      <alignment horizontal="center" vertical="top"/>
      <protection locked="0"/>
    </xf>
    <xf numFmtId="0" fontId="5" fillId="2" borderId="2" xfId="0" applyFont="1" applyFill="1" applyBorder="1"/>
    <xf numFmtId="0" fontId="5" fillId="2" borderId="3" xfId="0" applyFont="1" applyFill="1" applyBorder="1"/>
    <xf numFmtId="0" fontId="5" fillId="2" borderId="4" xfId="0" applyFont="1" applyFill="1" applyBorder="1"/>
    <xf numFmtId="0" fontId="0" fillId="0" borderId="5" xfId="0"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6" xfId="0" applyBorder="1" applyAlignment="1">
      <alignment vertical="top"/>
    </xf>
    <xf numFmtId="0" fontId="5" fillId="2" borderId="5" xfId="0" applyFont="1" applyFill="1" applyBorder="1"/>
    <xf numFmtId="0" fontId="5" fillId="2" borderId="0" xfId="0" applyFont="1" applyFill="1" applyBorder="1"/>
    <xf numFmtId="0" fontId="5" fillId="2" borderId="6" xfId="0" applyFont="1" applyFill="1" applyBorder="1"/>
    <xf numFmtId="0" fontId="0" fillId="3" borderId="0" xfId="0" applyFill="1" applyBorder="1" applyAlignment="1">
      <alignment vertical="top"/>
    </xf>
    <xf numFmtId="0" fontId="0" fillId="3" borderId="0" xfId="0" applyFill="1" applyBorder="1" applyAlignment="1">
      <alignment vertical="top" wrapText="1"/>
    </xf>
    <xf numFmtId="0" fontId="0" fillId="3" borderId="6" xfId="0" applyFill="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8" xfId="0" applyBorder="1" applyAlignment="1">
      <alignment vertical="top" wrapText="1"/>
    </xf>
    <xf numFmtId="0" fontId="0" fillId="0" borderId="9" xfId="0" applyBorder="1" applyAlignment="1">
      <alignment vertical="top"/>
    </xf>
    <xf numFmtId="0" fontId="6" fillId="3" borderId="5" xfId="0" applyFont="1" applyFill="1" applyBorder="1" applyAlignment="1">
      <alignment vertical="top"/>
    </xf>
    <xf numFmtId="0" fontId="2" fillId="0" borderId="0" xfId="0" applyFont="1"/>
    <xf numFmtId="2" fontId="0" fillId="0" borderId="0" xfId="0" applyNumberFormat="1" applyAlignment="1">
      <alignment vertical="top"/>
    </xf>
    <xf numFmtId="0" fontId="2" fillId="0" borderId="0" xfId="0" applyFont="1" applyAlignment="1">
      <alignment horizontal="right" vertical="top"/>
    </xf>
    <xf numFmtId="14" fontId="1" fillId="0" borderId="0" xfId="0" applyNumberFormat="1" applyFont="1" applyBorder="1" applyAlignment="1" applyProtection="1">
      <alignment horizontal="center" vertical="top"/>
      <protection locked="0"/>
    </xf>
    <xf numFmtId="0" fontId="2" fillId="0" borderId="0" xfId="0" applyFont="1" applyAlignment="1">
      <alignment vertical="top"/>
    </xf>
    <xf numFmtId="2" fontId="7" fillId="0" borderId="0" xfId="0" applyNumberFormat="1" applyFont="1" applyAlignment="1" applyProtection="1">
      <alignment vertical="top"/>
      <protection locked="0"/>
    </xf>
    <xf numFmtId="0" fontId="0" fillId="0" borderId="0" xfId="0" applyAlignment="1">
      <alignment horizontal="center" vertical="top"/>
    </xf>
    <xf numFmtId="0" fontId="7" fillId="0" borderId="0" xfId="0" applyFont="1" applyAlignment="1" applyProtection="1">
      <alignment horizontal="center" vertical="top"/>
      <protection locked="0"/>
    </xf>
    <xf numFmtId="0" fontId="8" fillId="0" borderId="5" xfId="0" applyFont="1" applyBorder="1" applyAlignment="1">
      <alignment horizontal="right" vertical="top"/>
    </xf>
    <xf numFmtId="0" fontId="2" fillId="0" borderId="0" xfId="2" applyFont="1" applyAlignment="1">
      <alignment horizontal="right"/>
    </xf>
    <xf numFmtId="0" fontId="2" fillId="0" borderId="0" xfId="2" applyFont="1"/>
    <xf numFmtId="0" fontId="9" fillId="0" borderId="0" xfId="2"/>
    <xf numFmtId="0" fontId="8" fillId="0" borderId="0" xfId="0" applyFont="1" applyBorder="1" applyAlignment="1">
      <alignment horizontal="center" vertical="top"/>
    </xf>
    <xf numFmtId="0" fontId="2" fillId="0" borderId="0" xfId="0" applyFont="1" applyAlignment="1">
      <alignment horizontal="right"/>
    </xf>
    <xf numFmtId="0" fontId="2" fillId="0" borderId="0" xfId="0" applyFont="1" applyAlignment="1"/>
    <xf numFmtId="0" fontId="10" fillId="0" borderId="0" xfId="0" applyFont="1" applyAlignment="1">
      <alignment vertical="top"/>
    </xf>
    <xf numFmtId="0" fontId="7" fillId="0" borderId="10" xfId="1" applyFont="1" applyBorder="1" applyAlignment="1">
      <alignment vertical="top"/>
      <protection locked="0"/>
    </xf>
    <xf numFmtId="0" fontId="11" fillId="0" borderId="0" xfId="0" applyFont="1" applyAlignment="1">
      <alignment horizontal="center"/>
    </xf>
    <xf numFmtId="9" fontId="1" fillId="0" borderId="1" xfId="0" applyNumberFormat="1" applyFont="1" applyBorder="1" applyAlignment="1" applyProtection="1">
      <alignment horizontal="center" vertical="top"/>
      <protection locked="0"/>
    </xf>
    <xf numFmtId="0" fontId="11" fillId="0" borderId="0" xfId="0" applyFont="1" applyAlignment="1">
      <alignment vertical="top"/>
    </xf>
    <xf numFmtId="2" fontId="0" fillId="0" borderId="0" xfId="0" applyNumberFormat="1" applyFill="1" applyAlignment="1">
      <alignment vertical="top"/>
    </xf>
  </cellXfs>
  <cellStyles count="3">
    <cellStyle name="InputBox" xfId="1" xr:uid="{E557D0AC-AD56-41BB-B663-2A978E60B362}"/>
    <cellStyle name="Normal" xfId="0" builtinId="0"/>
    <cellStyle name="Normal 4" xfId="2" xr:uid="{56C517A3-EFB6-4215-9F1B-4576E834C0EE}"/>
  </cellStyles>
  <dxfs count="0"/>
  <tableStyles count="0" defaultTableStyle="TableStyleMedium2" defaultPivotStyle="PivotStyleLight16"/>
  <colors>
    <mruColors>
      <color rgb="FF0000FF"/>
      <color rgb="FFC0D8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4AD1E-974F-450C-A607-73AB4A1FBA06}">
  <sheetPr codeName="Sheet1"/>
  <dimension ref="A1:AA93"/>
  <sheetViews>
    <sheetView tabSelected="1" zoomScaleNormal="100" workbookViewId="0">
      <selection activeCell="H10" sqref="H10"/>
    </sheetView>
  </sheetViews>
  <sheetFormatPr defaultRowHeight="15" x14ac:dyDescent="0.25"/>
  <cols>
    <col min="1" max="1" width="9.28515625" style="1" bestFit="1" customWidth="1"/>
    <col min="2" max="2" width="7.5703125" style="1" bestFit="1" customWidth="1"/>
    <col min="3" max="3" width="12.28515625" style="1" bestFit="1" customWidth="1"/>
    <col min="4" max="4" width="50.7109375" style="1" customWidth="1"/>
    <col min="5" max="5" width="13.5703125" style="1" customWidth="1"/>
    <col min="6" max="6" width="9.5703125" style="1" bestFit="1" customWidth="1"/>
    <col min="7" max="7" width="45.140625" style="1" customWidth="1"/>
    <col min="8" max="8" width="16.5703125" style="1" bestFit="1" customWidth="1"/>
    <col min="9" max="9" width="9.140625" style="1"/>
    <col min="10" max="10" width="9" style="1" bestFit="1" customWidth="1"/>
    <col min="11" max="11" width="10.85546875" style="1" bestFit="1" customWidth="1"/>
    <col min="12" max="12" width="9.7109375" style="1" customWidth="1"/>
    <col min="13" max="13" width="11" style="1" bestFit="1" customWidth="1"/>
    <col min="14" max="15" width="9.140625" style="1"/>
    <col min="16" max="16" width="9.7109375" style="1" bestFit="1" customWidth="1"/>
    <col min="17" max="17" width="7.42578125" style="1" bestFit="1" customWidth="1"/>
    <col min="18" max="18" width="7.85546875" style="1" bestFit="1" customWidth="1"/>
    <col min="19" max="19" width="10.140625" style="1" bestFit="1" customWidth="1"/>
    <col min="20" max="20" width="5" style="1" bestFit="1" customWidth="1"/>
    <col min="21" max="21" width="9.7109375" style="1" bestFit="1" customWidth="1"/>
    <col min="22" max="22" width="10.28515625" style="1" bestFit="1" customWidth="1"/>
    <col min="23" max="24" width="9.140625" style="1"/>
    <col min="25" max="25" width="10.7109375" style="1" bestFit="1" customWidth="1"/>
    <col min="26" max="26" width="9.140625" style="1"/>
    <col min="27" max="27" width="7.7109375" style="1" bestFit="1" customWidth="1"/>
    <col min="28" max="16384" width="9.140625" style="1"/>
  </cols>
  <sheetData>
    <row r="1" spans="4:18" ht="18.75" x14ac:dyDescent="0.3">
      <c r="D1" s="4" t="s">
        <v>0</v>
      </c>
      <c r="E1" s="5"/>
      <c r="F1" s="5" t="s">
        <v>1</v>
      </c>
      <c r="G1" s="5" t="s">
        <v>47</v>
      </c>
      <c r="H1" s="6" t="s">
        <v>28</v>
      </c>
      <c r="J1"/>
      <c r="K1" s="37" t="s">
        <v>93</v>
      </c>
    </row>
    <row r="2" spans="4:18" x14ac:dyDescent="0.25">
      <c r="D2" s="7"/>
      <c r="E2" s="8"/>
      <c r="F2" s="8">
        <v>1</v>
      </c>
      <c r="G2" s="9" t="s">
        <v>2</v>
      </c>
      <c r="H2" s="10" t="s">
        <v>3</v>
      </c>
      <c r="K2" s="35" t="s">
        <v>57</v>
      </c>
      <c r="L2" s="35" t="s">
        <v>52</v>
      </c>
      <c r="M2" s="35" t="s">
        <v>54</v>
      </c>
      <c r="N2" s="36" t="s">
        <v>55</v>
      </c>
    </row>
    <row r="3" spans="4:18" x14ac:dyDescent="0.25">
      <c r="D3" s="7" t="s">
        <v>4</v>
      </c>
      <c r="E3" s="3" t="s">
        <v>48</v>
      </c>
      <c r="F3" s="8">
        <f>IF(E3&lt;&gt;"Please Enter",1,0)</f>
        <v>0</v>
      </c>
      <c r="G3" s="9" t="str">
        <f>IF(E3="Please Enter","","The discovery session with "&amp;CustomerName&amp;" took place on "&amp;TEXT(E3,"MM/DD/YY")&amp;".")</f>
        <v/>
      </c>
      <c r="H3" s="10" t="s">
        <v>5</v>
      </c>
      <c r="K3" s="23">
        <f>SUMIF(LaborType,N3,LaborHours)</f>
        <v>0</v>
      </c>
      <c r="L3" s="27">
        <v>0</v>
      </c>
      <c r="M3" s="23">
        <f>K3+L3</f>
        <v>0</v>
      </c>
      <c r="N3" s="1" t="s">
        <v>56</v>
      </c>
      <c r="P3" s="41" t="s">
        <v>126</v>
      </c>
      <c r="R3" s="23">
        <f>IF(TechHours&gt;0,(TechHours+(TechHours*OTPercent*0.5)+(TechHours*OTHolidayPercent*1))/TechHours,1)</f>
        <v>1</v>
      </c>
    </row>
    <row r="4" spans="4:18" x14ac:dyDescent="0.25">
      <c r="D4" s="7" t="s">
        <v>121</v>
      </c>
      <c r="E4" s="2">
        <v>1</v>
      </c>
      <c r="F4" s="8"/>
      <c r="G4" s="9"/>
      <c r="H4" s="10"/>
      <c r="K4" s="42">
        <f>ROUNDUP(M3*0.25,0)</f>
        <v>0</v>
      </c>
      <c r="L4" s="27">
        <v>0</v>
      </c>
      <c r="M4" s="23">
        <f>K4+L4</f>
        <v>0</v>
      </c>
      <c r="N4" s="1" t="s">
        <v>58</v>
      </c>
    </row>
    <row r="5" spans="4:18" x14ac:dyDescent="0.25">
      <c r="D5" s="7"/>
      <c r="E5" s="25"/>
      <c r="F5" s="8"/>
      <c r="G5" s="9"/>
      <c r="H5" s="10"/>
      <c r="K5" s="42">
        <f>IF(AND(M3&gt;8,ProjMgmnt="Yes"),2+ROUNDUP(M3*0.05,0),0)</f>
        <v>0</v>
      </c>
      <c r="L5" s="27">
        <v>0</v>
      </c>
      <c r="M5" s="23">
        <f>K5+L5</f>
        <v>0</v>
      </c>
      <c r="N5" s="1" t="s">
        <v>59</v>
      </c>
    </row>
    <row r="6" spans="4:18" ht="18.75" x14ac:dyDescent="0.3">
      <c r="D6" s="11" t="s">
        <v>113</v>
      </c>
      <c r="E6" s="12"/>
      <c r="F6" s="12"/>
      <c r="G6" s="12"/>
      <c r="H6" s="13"/>
      <c r="K6" s="23">
        <f>SUMIF(LaborType,N6,LaborHours)</f>
        <v>0</v>
      </c>
      <c r="L6" s="27">
        <v>0</v>
      </c>
      <c r="M6" s="23">
        <f>K6+L6</f>
        <v>0</v>
      </c>
      <c r="N6" s="1" t="s">
        <v>60</v>
      </c>
    </row>
    <row r="7" spans="4:18" ht="30" x14ac:dyDescent="0.25">
      <c r="D7" s="7"/>
      <c r="E7" s="25"/>
      <c r="F7" s="8">
        <v>1</v>
      </c>
      <c r="G7" s="9" t="str">
        <f>SellerCompanyShort&amp;" will implement the following solutions for "&amp;CustomerName&amp;":"</f>
        <v>Tech Solutions, Inc. will implement the following solutions for Acme:</v>
      </c>
      <c r="H7" s="10" t="s">
        <v>5</v>
      </c>
      <c r="K7" s="23"/>
      <c r="L7" s="27"/>
      <c r="M7" s="23"/>
    </row>
    <row r="8" spans="4:18" ht="17.25" x14ac:dyDescent="0.25">
      <c r="D8" s="21" t="s">
        <v>94</v>
      </c>
      <c r="E8" s="14"/>
      <c r="F8" s="14"/>
      <c r="G8" s="15"/>
      <c r="H8" s="16"/>
      <c r="J8" s="24" t="s">
        <v>53</v>
      </c>
      <c r="K8" s="24" t="s">
        <v>51</v>
      </c>
      <c r="L8" s="24" t="s">
        <v>52</v>
      </c>
      <c r="M8" s="24" t="s">
        <v>54</v>
      </c>
      <c r="N8" s="26" t="s">
        <v>55</v>
      </c>
    </row>
    <row r="9" spans="4:18" x14ac:dyDescent="0.25">
      <c r="D9" s="7" t="s">
        <v>127</v>
      </c>
      <c r="E9" s="2">
        <v>0</v>
      </c>
      <c r="F9" s="8">
        <f t="shared" ref="F9:F12" si="0">IF(E9&gt;0,1,0)</f>
        <v>0</v>
      </c>
      <c r="G9" s="9" t="str">
        <f>D9</f>
        <v>Univerge SV9100</v>
      </c>
      <c r="H9" s="10" t="s">
        <v>6</v>
      </c>
      <c r="J9" s="1">
        <f t="shared" ref="J9:J12" si="1">E9</f>
        <v>0</v>
      </c>
      <c r="K9" s="23">
        <v>5</v>
      </c>
      <c r="L9" s="27">
        <v>0</v>
      </c>
      <c r="M9" s="1">
        <f t="shared" ref="M9:M12" si="2">(J9*K9)+L9</f>
        <v>0</v>
      </c>
      <c r="N9" s="1" t="s">
        <v>56</v>
      </c>
    </row>
    <row r="10" spans="4:18" x14ac:dyDescent="0.25">
      <c r="D10" s="7" t="s">
        <v>128</v>
      </c>
      <c r="E10" s="2">
        <v>0</v>
      </c>
      <c r="F10" s="8">
        <f t="shared" si="0"/>
        <v>0</v>
      </c>
      <c r="G10" s="9" t="str">
        <f t="shared" ref="G10" si="3">D10</f>
        <v>Univerge SV9300</v>
      </c>
      <c r="H10" s="10" t="s">
        <v>6</v>
      </c>
      <c r="J10" s="1">
        <f t="shared" si="1"/>
        <v>0</v>
      </c>
      <c r="K10" s="23">
        <v>8</v>
      </c>
      <c r="L10" s="27">
        <v>0</v>
      </c>
      <c r="M10" s="1">
        <f t="shared" si="2"/>
        <v>0</v>
      </c>
      <c r="N10" s="1" t="s">
        <v>56</v>
      </c>
    </row>
    <row r="11" spans="4:18" x14ac:dyDescent="0.25">
      <c r="D11" s="7" t="s">
        <v>129</v>
      </c>
      <c r="E11" s="2">
        <v>0</v>
      </c>
      <c r="F11" s="8">
        <f t="shared" ref="F11" si="4">IF(E11&gt;0,1,0)</f>
        <v>0</v>
      </c>
      <c r="G11" s="9" t="str">
        <f t="shared" ref="G11" si="5">D11</f>
        <v>Univerge 3C</v>
      </c>
      <c r="H11" s="10" t="s">
        <v>6</v>
      </c>
      <c r="J11" s="1">
        <f t="shared" ref="J11" si="6">E11</f>
        <v>0</v>
      </c>
      <c r="K11" s="23">
        <v>12</v>
      </c>
      <c r="L11" s="27">
        <v>0</v>
      </c>
      <c r="M11" s="1">
        <f t="shared" ref="M11" si="7">(J11*K11)+L11</f>
        <v>0</v>
      </c>
      <c r="N11" s="1" t="s">
        <v>56</v>
      </c>
    </row>
    <row r="12" spans="4:18" x14ac:dyDescent="0.25">
      <c r="D12" s="7" t="s">
        <v>130</v>
      </c>
      <c r="E12" s="2">
        <v>0</v>
      </c>
      <c r="F12" s="8">
        <f t="shared" si="0"/>
        <v>0</v>
      </c>
      <c r="G12" s="9" t="str">
        <f t="shared" ref="G12" si="8">E12&amp;" "&amp;D12</f>
        <v>0 Univerge Blue Connect</v>
      </c>
      <c r="H12" s="10" t="s">
        <v>6</v>
      </c>
      <c r="J12" s="1">
        <f t="shared" si="1"/>
        <v>0</v>
      </c>
      <c r="K12" s="23">
        <v>12</v>
      </c>
      <c r="L12" s="27">
        <v>0</v>
      </c>
      <c r="M12" s="1">
        <f t="shared" si="2"/>
        <v>0</v>
      </c>
      <c r="N12" s="1" t="s">
        <v>56</v>
      </c>
    </row>
    <row r="13" spans="4:18" ht="17.25" x14ac:dyDescent="0.25">
      <c r="D13" s="21" t="s">
        <v>95</v>
      </c>
      <c r="E13" s="14"/>
      <c r="F13" s="14"/>
      <c r="G13" s="15"/>
      <c r="H13" s="16"/>
      <c r="K13" s="23"/>
      <c r="L13" s="27"/>
      <c r="M13" s="23"/>
    </row>
    <row r="14" spans="4:18" x14ac:dyDescent="0.25">
      <c r="D14" s="7" t="s">
        <v>96</v>
      </c>
      <c r="E14" s="2">
        <v>0</v>
      </c>
      <c r="F14" s="8">
        <f t="shared" ref="F14:F22" si="9">IF(E14&gt;0,1,0)</f>
        <v>0</v>
      </c>
      <c r="G14" s="9" t="str">
        <f t="shared" ref="G14:G22" si="10">E14&amp;" "&amp;D14</f>
        <v>0 IP phones</v>
      </c>
      <c r="H14" s="10" t="s">
        <v>6</v>
      </c>
      <c r="J14" s="1">
        <f t="shared" ref="J14:J22" si="11">E14</f>
        <v>0</v>
      </c>
      <c r="K14" s="23">
        <v>0.5</v>
      </c>
      <c r="L14" s="27">
        <v>0</v>
      </c>
      <c r="M14" s="1">
        <f t="shared" ref="M14:M22" si="12">(J14*K14)+L14</f>
        <v>0</v>
      </c>
      <c r="N14" s="1" t="s">
        <v>56</v>
      </c>
    </row>
    <row r="15" spans="4:18" x14ac:dyDescent="0.25">
      <c r="D15" s="7" t="s">
        <v>131</v>
      </c>
      <c r="E15" s="2">
        <v>0</v>
      </c>
      <c r="F15" s="8">
        <f t="shared" si="9"/>
        <v>0</v>
      </c>
      <c r="G15" s="9" t="str">
        <f t="shared" si="10"/>
        <v>0 Digital Phones</v>
      </c>
      <c r="H15" s="10" t="s">
        <v>6</v>
      </c>
      <c r="J15" s="1">
        <f t="shared" si="11"/>
        <v>0</v>
      </c>
      <c r="K15" s="23">
        <v>0.25</v>
      </c>
      <c r="L15" s="27">
        <v>0</v>
      </c>
      <c r="M15" s="1">
        <f t="shared" si="12"/>
        <v>0</v>
      </c>
      <c r="N15" s="1" t="s">
        <v>56</v>
      </c>
    </row>
    <row r="16" spans="4:18" x14ac:dyDescent="0.25">
      <c r="D16" s="7" t="s">
        <v>97</v>
      </c>
      <c r="E16" s="2">
        <v>0</v>
      </c>
      <c r="F16" s="8">
        <f t="shared" si="9"/>
        <v>0</v>
      </c>
      <c r="G16" s="9" t="str">
        <f>E16&amp;" "&amp;D19</f>
        <v>0 Doorphones</v>
      </c>
      <c r="H16" s="10" t="s">
        <v>6</v>
      </c>
      <c r="J16" s="1">
        <f t="shared" si="11"/>
        <v>0</v>
      </c>
      <c r="K16" s="23">
        <v>2</v>
      </c>
      <c r="L16" s="27">
        <v>0</v>
      </c>
      <c r="M16" s="1">
        <f t="shared" si="12"/>
        <v>0</v>
      </c>
      <c r="N16" s="1" t="s">
        <v>56</v>
      </c>
    </row>
    <row r="17" spans="4:14" x14ac:dyDescent="0.25">
      <c r="D17" s="7" t="s">
        <v>132</v>
      </c>
      <c r="E17" s="2">
        <v>0</v>
      </c>
      <c r="F17" s="8">
        <f t="shared" ref="F17:F18" si="13">IF(E17&gt;0,1,0)</f>
        <v>0</v>
      </c>
      <c r="G17" s="9" t="str">
        <f t="shared" ref="G17:G18" si="14">E17&amp;" "&amp;D17</f>
        <v>0 SIP Phones</v>
      </c>
      <c r="H17" s="10" t="s">
        <v>6</v>
      </c>
      <c r="J17" s="1">
        <f t="shared" ref="J17:J18" si="15">E17</f>
        <v>0</v>
      </c>
      <c r="K17" s="23">
        <v>2</v>
      </c>
      <c r="L17" s="27">
        <v>0</v>
      </c>
      <c r="M17" s="1">
        <f t="shared" ref="M17:M18" si="16">(J17*K17)+L17</f>
        <v>0</v>
      </c>
      <c r="N17" s="1" t="s">
        <v>56</v>
      </c>
    </row>
    <row r="18" spans="4:14" x14ac:dyDescent="0.25">
      <c r="D18" s="7" t="s">
        <v>133</v>
      </c>
      <c r="E18" s="2">
        <v>0</v>
      </c>
      <c r="F18" s="8">
        <f t="shared" si="13"/>
        <v>0</v>
      </c>
      <c r="G18" s="9" t="str">
        <f t="shared" si="14"/>
        <v>0 Wireless DECT Phones</v>
      </c>
      <c r="H18" s="10" t="s">
        <v>6</v>
      </c>
      <c r="J18" s="1">
        <f t="shared" si="15"/>
        <v>0</v>
      </c>
      <c r="K18" s="23">
        <v>1</v>
      </c>
      <c r="L18" s="27">
        <v>0</v>
      </c>
      <c r="M18" s="1">
        <f t="shared" si="16"/>
        <v>0</v>
      </c>
      <c r="N18" s="1" t="s">
        <v>56</v>
      </c>
    </row>
    <row r="19" spans="4:14" x14ac:dyDescent="0.25">
      <c r="D19" s="7" t="s">
        <v>134</v>
      </c>
      <c r="E19" s="2">
        <v>0</v>
      </c>
      <c r="F19" s="8">
        <f t="shared" si="9"/>
        <v>0</v>
      </c>
      <c r="G19" s="9" t="str">
        <f t="shared" si="10"/>
        <v>0 Doorphones</v>
      </c>
      <c r="H19" s="10" t="s">
        <v>6</v>
      </c>
      <c r="J19" s="1">
        <f t="shared" si="11"/>
        <v>0</v>
      </c>
      <c r="K19" s="23">
        <v>1</v>
      </c>
      <c r="L19" s="27">
        <v>0</v>
      </c>
      <c r="M19" s="1">
        <f t="shared" si="12"/>
        <v>0</v>
      </c>
      <c r="N19" s="1" t="s">
        <v>56</v>
      </c>
    </row>
    <row r="20" spans="4:14" x14ac:dyDescent="0.25">
      <c r="D20" s="7" t="s">
        <v>98</v>
      </c>
      <c r="E20" s="2">
        <v>0</v>
      </c>
      <c r="F20" s="8">
        <f t="shared" si="9"/>
        <v>0</v>
      </c>
      <c r="G20" s="9" t="str">
        <f t="shared" si="10"/>
        <v>0 Speakerphones</v>
      </c>
      <c r="H20" s="10" t="s">
        <v>6</v>
      </c>
      <c r="J20" s="1">
        <f t="shared" si="11"/>
        <v>0</v>
      </c>
      <c r="K20" s="23">
        <v>1</v>
      </c>
      <c r="L20" s="27">
        <v>0</v>
      </c>
      <c r="M20" s="1">
        <f t="shared" si="12"/>
        <v>0</v>
      </c>
      <c r="N20" s="1" t="s">
        <v>56</v>
      </c>
    </row>
    <row r="21" spans="4:14" x14ac:dyDescent="0.25">
      <c r="D21" s="7" t="s">
        <v>99</v>
      </c>
      <c r="E21" s="2">
        <v>0</v>
      </c>
      <c r="F21" s="8">
        <f t="shared" si="9"/>
        <v>0</v>
      </c>
      <c r="G21" s="9" t="str">
        <f t="shared" si="10"/>
        <v>0 Softphones</v>
      </c>
      <c r="H21" s="10" t="s">
        <v>6</v>
      </c>
      <c r="J21" s="1">
        <f t="shared" si="11"/>
        <v>0</v>
      </c>
      <c r="K21" s="23">
        <v>1</v>
      </c>
      <c r="L21" s="27">
        <v>0</v>
      </c>
      <c r="M21" s="1">
        <f t="shared" si="12"/>
        <v>0</v>
      </c>
      <c r="N21" s="1" t="s">
        <v>56</v>
      </c>
    </row>
    <row r="22" spans="4:14" x14ac:dyDescent="0.25">
      <c r="D22" s="7" t="s">
        <v>100</v>
      </c>
      <c r="E22" s="2">
        <v>0</v>
      </c>
      <c r="F22" s="8">
        <f t="shared" si="9"/>
        <v>0</v>
      </c>
      <c r="G22" s="9" t="str">
        <f t="shared" si="10"/>
        <v>0 Consoles</v>
      </c>
      <c r="H22" s="10" t="s">
        <v>6</v>
      </c>
      <c r="J22" s="1">
        <f t="shared" si="11"/>
        <v>0</v>
      </c>
      <c r="K22" s="23">
        <v>4</v>
      </c>
      <c r="L22" s="27">
        <v>0</v>
      </c>
      <c r="M22" s="1">
        <f t="shared" si="12"/>
        <v>0</v>
      </c>
      <c r="N22" s="1" t="s">
        <v>56</v>
      </c>
    </row>
    <row r="23" spans="4:14" ht="17.25" x14ac:dyDescent="0.25">
      <c r="D23" s="21" t="s">
        <v>101</v>
      </c>
      <c r="E23" s="14"/>
      <c r="F23" s="14"/>
      <c r="G23" s="15"/>
      <c r="H23" s="16"/>
      <c r="K23" s="23"/>
      <c r="L23" s="27"/>
      <c r="M23" s="23"/>
    </row>
    <row r="24" spans="4:14" x14ac:dyDescent="0.25">
      <c r="D24" s="7" t="s">
        <v>102</v>
      </c>
      <c r="E24" s="2">
        <v>0</v>
      </c>
      <c r="F24" s="8">
        <f t="shared" ref="F24:F37" si="17">IF(E24&gt;0,1,0)</f>
        <v>0</v>
      </c>
      <c r="G24" s="9" t="str">
        <f t="shared" ref="G24:G37" si="18">D24</f>
        <v>Voice Mail</v>
      </c>
      <c r="H24" s="10" t="s">
        <v>6</v>
      </c>
      <c r="J24" s="1">
        <f>E24</f>
        <v>0</v>
      </c>
      <c r="K24" s="23">
        <v>4</v>
      </c>
      <c r="L24" s="27">
        <v>0</v>
      </c>
      <c r="M24" s="1">
        <f t="shared" ref="M24:M37" si="19">(J24*K24)+L24</f>
        <v>0</v>
      </c>
      <c r="N24" s="1" t="s">
        <v>56</v>
      </c>
    </row>
    <row r="25" spans="4:14" x14ac:dyDescent="0.25">
      <c r="D25" s="7" t="s">
        <v>139</v>
      </c>
      <c r="E25" s="2">
        <v>0</v>
      </c>
      <c r="F25" s="8">
        <f t="shared" ref="F25" si="20">IF(E25&gt;0,1,0)</f>
        <v>0</v>
      </c>
      <c r="G25" s="9" t="str">
        <f t="shared" ref="G25" si="21">D25</f>
        <v>InMail Email Client</v>
      </c>
      <c r="H25" s="10" t="s">
        <v>6</v>
      </c>
      <c r="J25" s="1">
        <f t="shared" ref="J25" si="22">E25</f>
        <v>0</v>
      </c>
      <c r="K25" s="23">
        <v>4</v>
      </c>
      <c r="L25" s="27">
        <v>0</v>
      </c>
      <c r="M25" s="1">
        <f t="shared" ref="M25" si="23">(J25*K25)+L25</f>
        <v>0</v>
      </c>
      <c r="N25" s="1" t="s">
        <v>56</v>
      </c>
    </row>
    <row r="26" spans="4:14" x14ac:dyDescent="0.25">
      <c r="D26" s="7" t="s">
        <v>140</v>
      </c>
      <c r="E26" s="2">
        <v>0</v>
      </c>
      <c r="F26" s="8">
        <f t="shared" si="17"/>
        <v>0</v>
      </c>
      <c r="G26" s="9" t="str">
        <f t="shared" si="18"/>
        <v>InUC Embedded Browser</v>
      </c>
      <c r="H26" s="10" t="s">
        <v>6</v>
      </c>
      <c r="J26" s="1">
        <f t="shared" ref="J26:J37" si="24">E26</f>
        <v>0</v>
      </c>
      <c r="K26" s="23">
        <v>4</v>
      </c>
      <c r="L26" s="27">
        <v>0</v>
      </c>
      <c r="M26" s="1">
        <f t="shared" si="19"/>
        <v>0</v>
      </c>
      <c r="N26" s="1" t="s">
        <v>56</v>
      </c>
    </row>
    <row r="27" spans="4:14" x14ac:dyDescent="0.25">
      <c r="D27" s="7" t="s">
        <v>141</v>
      </c>
      <c r="E27" s="2">
        <v>0</v>
      </c>
      <c r="F27" s="8">
        <f t="shared" ref="F27" si="25">IF(E27&gt;0,1,0)</f>
        <v>0</v>
      </c>
      <c r="G27" s="9" t="str">
        <f t="shared" ref="G27" si="26">D27</f>
        <v>UC Suite Desktop Client</v>
      </c>
      <c r="H27" s="10" t="s">
        <v>6</v>
      </c>
      <c r="J27" s="1">
        <f t="shared" ref="J27" si="27">E27</f>
        <v>0</v>
      </c>
      <c r="K27" s="23">
        <v>4</v>
      </c>
      <c r="L27" s="27">
        <v>0</v>
      </c>
      <c r="M27" s="1">
        <f t="shared" ref="M27" si="28">(J27*K27)+L27</f>
        <v>0</v>
      </c>
      <c r="N27" s="1" t="s">
        <v>56</v>
      </c>
    </row>
    <row r="28" spans="4:14" x14ac:dyDescent="0.25">
      <c r="D28" s="7" t="s">
        <v>142</v>
      </c>
      <c r="E28" s="2">
        <v>0</v>
      </c>
      <c r="F28" s="8">
        <f t="shared" ref="F28" si="29">IF(E28&gt;0,1,0)</f>
        <v>0</v>
      </c>
      <c r="G28" s="9" t="str">
        <f t="shared" ref="G28" si="30">D28</f>
        <v>UC Suite Web Client</v>
      </c>
      <c r="H28" s="10" t="s">
        <v>6</v>
      </c>
      <c r="J28" s="1">
        <f t="shared" ref="J28" si="31">E28</f>
        <v>0</v>
      </c>
      <c r="K28" s="23">
        <v>4</v>
      </c>
      <c r="L28" s="27">
        <v>0</v>
      </c>
      <c r="M28" s="1">
        <f t="shared" ref="M28" si="32">(J28*K28)+L28</f>
        <v>0</v>
      </c>
      <c r="N28" s="1" t="s">
        <v>56</v>
      </c>
    </row>
    <row r="29" spans="4:14" x14ac:dyDescent="0.25">
      <c r="D29" s="7" t="s">
        <v>143</v>
      </c>
      <c r="E29" s="2">
        <v>0</v>
      </c>
      <c r="F29" s="8">
        <f t="shared" si="17"/>
        <v>0</v>
      </c>
      <c r="G29" s="9" t="str">
        <f t="shared" si="18"/>
        <v>Mobile Extension</v>
      </c>
      <c r="H29" s="10" t="s">
        <v>6</v>
      </c>
      <c r="J29" s="1">
        <f t="shared" si="24"/>
        <v>0</v>
      </c>
      <c r="K29" s="23">
        <v>6</v>
      </c>
      <c r="L29" s="27">
        <v>0</v>
      </c>
      <c r="M29" s="1">
        <f t="shared" si="19"/>
        <v>0</v>
      </c>
      <c r="N29" s="1" t="s">
        <v>56</v>
      </c>
    </row>
    <row r="30" spans="4:14" x14ac:dyDescent="0.25">
      <c r="D30" s="7" t="s">
        <v>103</v>
      </c>
      <c r="E30" s="2">
        <v>0</v>
      </c>
      <c r="F30" s="8">
        <f t="shared" si="17"/>
        <v>0</v>
      </c>
      <c r="G30" s="9" t="str">
        <f t="shared" si="18"/>
        <v>e911</v>
      </c>
      <c r="H30" s="10" t="s">
        <v>6</v>
      </c>
      <c r="J30" s="1">
        <f t="shared" si="24"/>
        <v>0</v>
      </c>
      <c r="K30" s="23">
        <v>4</v>
      </c>
      <c r="L30" s="27">
        <v>0</v>
      </c>
      <c r="M30" s="1">
        <f t="shared" si="19"/>
        <v>0</v>
      </c>
      <c r="N30" s="1" t="s">
        <v>56</v>
      </c>
    </row>
    <row r="31" spans="4:14" x14ac:dyDescent="0.25">
      <c r="D31" s="7" t="s">
        <v>104</v>
      </c>
      <c r="E31" s="2">
        <v>0</v>
      </c>
      <c r="F31" s="8">
        <f t="shared" si="17"/>
        <v>0</v>
      </c>
      <c r="G31" s="9" t="str">
        <f t="shared" si="18"/>
        <v>Paging/Analog zones</v>
      </c>
      <c r="H31" s="10" t="s">
        <v>6</v>
      </c>
      <c r="J31" s="1">
        <f t="shared" si="24"/>
        <v>0</v>
      </c>
      <c r="K31" s="23">
        <v>1</v>
      </c>
      <c r="L31" s="27">
        <v>0</v>
      </c>
      <c r="M31" s="1">
        <f t="shared" si="19"/>
        <v>0</v>
      </c>
      <c r="N31" s="1" t="s">
        <v>56</v>
      </c>
    </row>
    <row r="32" spans="4:14" x14ac:dyDescent="0.25">
      <c r="D32" s="7" t="s">
        <v>105</v>
      </c>
      <c r="E32" s="2">
        <v>0</v>
      </c>
      <c r="F32" s="8">
        <f t="shared" si="17"/>
        <v>0</v>
      </c>
      <c r="G32" s="9" t="str">
        <f t="shared" si="18"/>
        <v>Contact Center</v>
      </c>
      <c r="H32" s="10" t="s">
        <v>6</v>
      </c>
      <c r="J32" s="1">
        <f t="shared" si="24"/>
        <v>0</v>
      </c>
      <c r="K32" s="23">
        <v>4</v>
      </c>
      <c r="L32" s="27">
        <v>0</v>
      </c>
      <c r="M32" s="1">
        <f t="shared" si="19"/>
        <v>0</v>
      </c>
      <c r="N32" s="1" t="s">
        <v>56</v>
      </c>
    </row>
    <row r="33" spans="4:14" x14ac:dyDescent="0.25">
      <c r="D33" s="7" t="s">
        <v>106</v>
      </c>
      <c r="E33" s="2">
        <v>0</v>
      </c>
      <c r="F33" s="8">
        <f t="shared" si="17"/>
        <v>0</v>
      </c>
      <c r="G33" s="9" t="str">
        <f t="shared" si="18"/>
        <v>Call Recording</v>
      </c>
      <c r="H33" s="10" t="s">
        <v>6</v>
      </c>
      <c r="J33" s="1">
        <f t="shared" si="24"/>
        <v>0</v>
      </c>
      <c r="K33" s="23">
        <v>3</v>
      </c>
      <c r="L33" s="27">
        <v>0</v>
      </c>
      <c r="M33" s="1">
        <f t="shared" si="19"/>
        <v>0</v>
      </c>
      <c r="N33" s="1" t="s">
        <v>56</v>
      </c>
    </row>
    <row r="34" spans="4:14" ht="15.75" customHeight="1" x14ac:dyDescent="0.25">
      <c r="D34" s="7" t="s">
        <v>107</v>
      </c>
      <c r="E34" s="2">
        <v>0</v>
      </c>
      <c r="F34" s="8">
        <f t="shared" si="17"/>
        <v>0</v>
      </c>
      <c r="G34" s="9" t="str">
        <f t="shared" si="18"/>
        <v>IVR (Interactive Voice Response)</v>
      </c>
      <c r="H34" s="10" t="s">
        <v>6</v>
      </c>
      <c r="J34" s="1">
        <f t="shared" si="24"/>
        <v>0</v>
      </c>
      <c r="K34" s="23">
        <v>8</v>
      </c>
      <c r="L34" s="27">
        <v>0</v>
      </c>
      <c r="M34" s="1">
        <f t="shared" si="19"/>
        <v>0</v>
      </c>
      <c r="N34" s="1" t="s">
        <v>56</v>
      </c>
    </row>
    <row r="35" spans="4:14" ht="15.75" customHeight="1" x14ac:dyDescent="0.25">
      <c r="D35" s="7" t="s">
        <v>136</v>
      </c>
      <c r="E35" s="2">
        <v>0</v>
      </c>
      <c r="F35" s="8">
        <f t="shared" si="17"/>
        <v>0</v>
      </c>
      <c r="G35" s="9" t="str">
        <f t="shared" si="18"/>
        <v>Automatic Call Distribution</v>
      </c>
      <c r="H35" s="10" t="s">
        <v>6</v>
      </c>
      <c r="J35" s="1">
        <f t="shared" si="24"/>
        <v>0</v>
      </c>
      <c r="K35" s="23">
        <v>8</v>
      </c>
      <c r="L35" s="27">
        <v>0</v>
      </c>
      <c r="M35" s="1">
        <f t="shared" si="19"/>
        <v>0</v>
      </c>
      <c r="N35" s="1" t="s">
        <v>56</v>
      </c>
    </row>
    <row r="36" spans="4:14" ht="15.75" customHeight="1" x14ac:dyDescent="0.25">
      <c r="D36" s="7" t="s">
        <v>135</v>
      </c>
      <c r="E36" s="2">
        <v>0</v>
      </c>
      <c r="F36" s="8">
        <f t="shared" ref="F36" si="33">IF(E36&gt;0,1,0)</f>
        <v>0</v>
      </c>
      <c r="G36" s="9" t="str">
        <f t="shared" ref="G36" si="34">D36</f>
        <v>Global Navigator</v>
      </c>
      <c r="H36" s="10" t="s">
        <v>6</v>
      </c>
      <c r="J36" s="1">
        <f t="shared" ref="J36" si="35">E36</f>
        <v>0</v>
      </c>
      <c r="K36" s="23">
        <v>8</v>
      </c>
      <c r="L36" s="27">
        <v>0</v>
      </c>
      <c r="M36" s="1">
        <f t="shared" ref="M36" si="36">(J36*K36)+L36</f>
        <v>0</v>
      </c>
      <c r="N36" s="1" t="s">
        <v>56</v>
      </c>
    </row>
    <row r="37" spans="4:14" x14ac:dyDescent="0.25">
      <c r="D37" s="7" t="s">
        <v>137</v>
      </c>
      <c r="E37" s="2">
        <v>0</v>
      </c>
      <c r="F37" s="8">
        <f t="shared" si="17"/>
        <v>0</v>
      </c>
      <c r="G37" s="9" t="str">
        <f t="shared" si="18"/>
        <v>InHotel</v>
      </c>
      <c r="H37" s="10" t="s">
        <v>6</v>
      </c>
      <c r="J37" s="1">
        <f t="shared" si="24"/>
        <v>0</v>
      </c>
      <c r="K37" s="23">
        <v>4</v>
      </c>
      <c r="L37" s="27">
        <v>0</v>
      </c>
      <c r="M37" s="1">
        <f t="shared" si="19"/>
        <v>0</v>
      </c>
      <c r="N37" s="1" t="s">
        <v>56</v>
      </c>
    </row>
    <row r="38" spans="4:14" x14ac:dyDescent="0.25">
      <c r="D38" s="7" t="s">
        <v>138</v>
      </c>
      <c r="E38" s="2">
        <v>0</v>
      </c>
      <c r="F38" s="8">
        <f t="shared" ref="F38" si="37">IF(E38&gt;0,1,0)</f>
        <v>0</v>
      </c>
      <c r="G38" s="9" t="str">
        <f t="shared" ref="G38" si="38">D38</f>
        <v>Nurse Call</v>
      </c>
      <c r="H38" s="10" t="s">
        <v>6</v>
      </c>
      <c r="J38" s="1">
        <f t="shared" ref="J38" si="39">E38</f>
        <v>0</v>
      </c>
      <c r="K38" s="23">
        <v>4</v>
      </c>
      <c r="L38" s="27">
        <v>0</v>
      </c>
      <c r="M38" s="1">
        <f t="shared" ref="M38" si="40">(J38*K38)+L38</f>
        <v>0</v>
      </c>
      <c r="N38" s="1" t="s">
        <v>56</v>
      </c>
    </row>
    <row r="39" spans="4:14" x14ac:dyDescent="0.25">
      <c r="D39" s="7"/>
      <c r="E39" s="39" t="s">
        <v>119</v>
      </c>
      <c r="F39"/>
      <c r="G39"/>
      <c r="H39" s="10"/>
      <c r="K39" s="23"/>
      <c r="L39" s="27"/>
    </row>
    <row r="40" spans="4:14" x14ac:dyDescent="0.25">
      <c r="D40" s="38" t="s">
        <v>120</v>
      </c>
      <c r="E40" s="2">
        <v>0</v>
      </c>
      <c r="F40" s="8">
        <f t="shared" ref="F40:F41" si="41">IF(E40&gt;0,1,0)</f>
        <v>0</v>
      </c>
      <c r="G40" s="9" t="str">
        <f t="shared" ref="G40:G41" si="42">D40</f>
        <v>Write-in application</v>
      </c>
      <c r="H40" s="10" t="s">
        <v>6</v>
      </c>
      <c r="K40" s="23"/>
      <c r="L40" s="27"/>
      <c r="M40" s="1">
        <f>E40</f>
        <v>0</v>
      </c>
      <c r="N40" s="1" t="s">
        <v>56</v>
      </c>
    </row>
    <row r="41" spans="4:14" x14ac:dyDescent="0.25">
      <c r="D41" s="38" t="s">
        <v>120</v>
      </c>
      <c r="E41" s="2">
        <v>0</v>
      </c>
      <c r="F41" s="8">
        <f t="shared" si="41"/>
        <v>0</v>
      </c>
      <c r="G41" s="9" t="str">
        <f t="shared" si="42"/>
        <v>Write-in application</v>
      </c>
      <c r="H41" s="10" t="s">
        <v>6</v>
      </c>
      <c r="K41" s="23"/>
      <c r="L41" s="27"/>
      <c r="M41" s="1">
        <f>E41</f>
        <v>0</v>
      </c>
      <c r="N41" s="1" t="s">
        <v>56</v>
      </c>
    </row>
    <row r="42" spans="4:14" ht="17.25" x14ac:dyDescent="0.25">
      <c r="D42" s="21" t="s">
        <v>112</v>
      </c>
      <c r="E42" s="14"/>
      <c r="F42" s="14"/>
      <c r="G42" s="15"/>
      <c r="H42" s="16"/>
      <c r="K42" s="23"/>
    </row>
    <row r="43" spans="4:14" x14ac:dyDescent="0.25">
      <c r="D43" s="7" t="s">
        <v>114</v>
      </c>
      <c r="E43" s="2">
        <v>0</v>
      </c>
      <c r="F43" s="8">
        <f t="shared" ref="F43:F46" si="43">IF(E43&gt;0,1,0)</f>
        <v>0</v>
      </c>
      <c r="G43" s="9" t="str">
        <f>E43&amp;" "&amp;D43</f>
        <v>0 SIP channels</v>
      </c>
      <c r="H43" s="10" t="s">
        <v>6</v>
      </c>
      <c r="J43" s="1">
        <f>ROUNDUP(E43/24,0)</f>
        <v>0</v>
      </c>
      <c r="K43" s="23">
        <v>2</v>
      </c>
      <c r="L43" s="27">
        <v>0</v>
      </c>
      <c r="M43" s="1">
        <f t="shared" ref="M43:M46" si="44">(J43*K43)+L43</f>
        <v>0</v>
      </c>
      <c r="N43" s="1" t="s">
        <v>56</v>
      </c>
    </row>
    <row r="44" spans="4:14" x14ac:dyDescent="0.25">
      <c r="D44" s="7" t="s">
        <v>144</v>
      </c>
      <c r="E44" s="2">
        <v>0</v>
      </c>
      <c r="F44" s="8">
        <f t="shared" si="43"/>
        <v>0</v>
      </c>
      <c r="G44" s="9" t="str">
        <f t="shared" ref="G44:G46" si="45">E44&amp;" "&amp;D44</f>
        <v>0 T1 circuits</v>
      </c>
      <c r="H44" s="10" t="s">
        <v>6</v>
      </c>
      <c r="J44" s="1">
        <f>ROUNDUP(E44/24,0)</f>
        <v>0</v>
      </c>
      <c r="K44" s="23">
        <v>2</v>
      </c>
      <c r="L44" s="27">
        <v>0</v>
      </c>
      <c r="M44" s="1">
        <f t="shared" si="44"/>
        <v>0</v>
      </c>
      <c r="N44" s="1" t="s">
        <v>56</v>
      </c>
    </row>
    <row r="45" spans="4:14" x14ac:dyDescent="0.25">
      <c r="D45" s="7" t="s">
        <v>115</v>
      </c>
      <c r="E45" s="2">
        <v>0</v>
      </c>
      <c r="F45" s="8">
        <f t="shared" ref="F45" si="46">IF(E45&gt;0,1,0)</f>
        <v>0</v>
      </c>
      <c r="G45" s="9" t="str">
        <f t="shared" ref="G45" si="47">E45&amp;" "&amp;D45</f>
        <v>0 PRI circuits</v>
      </c>
      <c r="H45" s="10" t="s">
        <v>6</v>
      </c>
      <c r="J45" s="1">
        <f>ROUNDUP(E45/24,0)</f>
        <v>0</v>
      </c>
      <c r="K45" s="23">
        <v>2</v>
      </c>
      <c r="L45" s="27">
        <v>0</v>
      </c>
      <c r="M45" s="1">
        <f t="shared" ref="M45" si="48">(J45*K45)+L45</f>
        <v>0</v>
      </c>
      <c r="N45" s="1" t="s">
        <v>56</v>
      </c>
    </row>
    <row r="46" spans="4:14" x14ac:dyDescent="0.25">
      <c r="D46" s="7" t="s">
        <v>116</v>
      </c>
      <c r="E46" s="2">
        <v>0</v>
      </c>
      <c r="F46" s="8">
        <f t="shared" si="43"/>
        <v>0</v>
      </c>
      <c r="G46" s="9" t="str">
        <f t="shared" si="45"/>
        <v>0 Analog trunks</v>
      </c>
      <c r="H46" s="10" t="s">
        <v>6</v>
      </c>
      <c r="J46" s="1">
        <f t="shared" ref="J46" si="49">E46</f>
        <v>0</v>
      </c>
      <c r="K46" s="23">
        <v>0.25</v>
      </c>
      <c r="L46" s="27">
        <v>0</v>
      </c>
      <c r="M46" s="1">
        <f t="shared" si="44"/>
        <v>0</v>
      </c>
      <c r="N46" s="1" t="s">
        <v>56</v>
      </c>
    </row>
    <row r="47" spans="4:14" ht="17.25" x14ac:dyDescent="0.25">
      <c r="D47" s="21" t="s">
        <v>117</v>
      </c>
      <c r="E47" s="14"/>
      <c r="F47" s="14">
        <f>F48</f>
        <v>0</v>
      </c>
      <c r="G47" s="15" t="str">
        <f>D47</f>
        <v>Solution Diagram</v>
      </c>
      <c r="H47" s="16" t="s">
        <v>20</v>
      </c>
      <c r="K47" s="23"/>
      <c r="L47" s="27"/>
    </row>
    <row r="48" spans="4:14" ht="30" x14ac:dyDescent="0.25">
      <c r="D48" s="7"/>
      <c r="E48" s="8"/>
      <c r="F48" s="8">
        <f>F49</f>
        <v>0</v>
      </c>
      <c r="G48" s="9" t="str">
        <f>"Below is a diagram showing the overall solution for "&amp;CustomerName&amp;":"</f>
        <v>Below is a diagram showing the overall solution for Acme:</v>
      </c>
      <c r="H48" s="10" t="s">
        <v>5</v>
      </c>
      <c r="K48" s="23"/>
      <c r="L48" s="27"/>
    </row>
    <row r="49" spans="4:14" x14ac:dyDescent="0.25">
      <c r="D49" s="7" t="s">
        <v>50</v>
      </c>
      <c r="E49" s="8"/>
      <c r="F49" s="8">
        <f>IF(G49="",0,1)</f>
        <v>0</v>
      </c>
      <c r="G49" s="9"/>
      <c r="H49" s="10" t="s">
        <v>21</v>
      </c>
      <c r="K49" s="23"/>
      <c r="L49" s="27"/>
    </row>
    <row r="50" spans="4:14" ht="18.75" x14ac:dyDescent="0.3">
      <c r="D50" s="11" t="s">
        <v>9</v>
      </c>
      <c r="E50" s="12"/>
      <c r="F50" s="12"/>
      <c r="G50" s="12"/>
      <c r="H50" s="13"/>
    </row>
    <row r="51" spans="4:14" ht="17.25" x14ac:dyDescent="0.25">
      <c r="D51" s="21"/>
      <c r="E51" s="14"/>
      <c r="F51" s="14">
        <f>SUM(F52:F57)</f>
        <v>5</v>
      </c>
      <c r="G51" s="15" t="str">
        <f>D50</f>
        <v>Customer Responsibilities</v>
      </c>
      <c r="H51" s="16" t="s">
        <v>20</v>
      </c>
    </row>
    <row r="52" spans="4:14" ht="75" x14ac:dyDescent="0.25">
      <c r="D52" s="7" t="s">
        <v>37</v>
      </c>
      <c r="E52" s="2" t="s">
        <v>10</v>
      </c>
      <c r="F52" s="8">
        <f>IF(E52="Yes",1,0)</f>
        <v>1</v>
      </c>
      <c r="G52" s="9" t="str">
        <f>"Customer will be responsible for ordering any local or long distance trunking changes as needed.  "&amp;CustomerName&amp;" will not be responsible for delays, issues, or down time as a result of telco issues."</f>
        <v>Customer will be responsible for ordering any local or long distance trunking changes as needed.  Acme will not be responsible for delays, issues, or down time as a result of telco issues.</v>
      </c>
      <c r="H52" s="10" t="s">
        <v>6</v>
      </c>
    </row>
    <row r="53" spans="4:14" ht="105" x14ac:dyDescent="0.25">
      <c r="D53" s="7" t="s">
        <v>38</v>
      </c>
      <c r="E53" s="2" t="s">
        <v>10</v>
      </c>
      <c r="F53" s="8">
        <f t="shared" ref="F53:F56" si="50">IF(E53="Yes",1,0)</f>
        <v>1</v>
      </c>
      <c r="G53" s="9" t="s">
        <v>11</v>
      </c>
      <c r="H53" s="10" t="s">
        <v>6</v>
      </c>
    </row>
    <row r="54" spans="4:14" ht="30" x14ac:dyDescent="0.25">
      <c r="D54" s="7" t="s">
        <v>40</v>
      </c>
      <c r="E54" s="2" t="s">
        <v>10</v>
      </c>
      <c r="F54" s="8">
        <f t="shared" si="50"/>
        <v>1</v>
      </c>
      <c r="G54" s="9" t="s">
        <v>12</v>
      </c>
      <c r="H54" s="10" t="s">
        <v>6</v>
      </c>
    </row>
    <row r="55" spans="4:14" ht="90" x14ac:dyDescent="0.25">
      <c r="D55" s="7" t="s">
        <v>41</v>
      </c>
      <c r="E55" s="2" t="s">
        <v>10</v>
      </c>
      <c r="F55" s="8">
        <f t="shared" si="50"/>
        <v>1</v>
      </c>
      <c r="G55" s="9" t="s">
        <v>13</v>
      </c>
      <c r="H55" s="10" t="s">
        <v>6</v>
      </c>
    </row>
    <row r="56" spans="4:14" ht="60" x14ac:dyDescent="0.25">
      <c r="D56" s="7" t="s">
        <v>39</v>
      </c>
      <c r="E56" s="2" t="s">
        <v>10</v>
      </c>
      <c r="F56" s="8">
        <f t="shared" si="50"/>
        <v>1</v>
      </c>
      <c r="G56" s="9" t="str">
        <f>"See the Project Plan for further details about when information or tasks are due.  The Project Plan also lists tasks that need to be performed by the "&amp;CustomerName&amp;"."</f>
        <v>See the Project Plan for further details about when information or tasks are due.  The Project Plan also lists tasks that need to be performed by the Acme.</v>
      </c>
      <c r="H56" s="10" t="s">
        <v>6</v>
      </c>
    </row>
    <row r="57" spans="4:14" x14ac:dyDescent="0.25">
      <c r="D57" s="7" t="s">
        <v>49</v>
      </c>
      <c r="E57" s="2"/>
      <c r="F57" s="8">
        <f>IF(OR(E57="Seller",E57="Customer"),1,0)</f>
        <v>0</v>
      </c>
      <c r="G57" s="9" t="str">
        <f>IF(E57="Seller",SellerCompanyShort,IF(E57="Customer",CustomerName,"No one"))&amp;" will set and test the phones"</f>
        <v>No one will set and test the phones</v>
      </c>
      <c r="H57" s="10" t="s">
        <v>6</v>
      </c>
    </row>
    <row r="58" spans="4:14" ht="18.75" x14ac:dyDescent="0.3">
      <c r="D58" s="11" t="s">
        <v>14</v>
      </c>
      <c r="E58" s="12"/>
      <c r="F58" s="12"/>
      <c r="G58" s="12"/>
      <c r="H58" s="13"/>
    </row>
    <row r="59" spans="4:14" ht="17.25" x14ac:dyDescent="0.25">
      <c r="D59" s="21" t="s">
        <v>15</v>
      </c>
      <c r="E59" s="14"/>
      <c r="F59" s="14">
        <v>1</v>
      </c>
      <c r="G59" s="15" t="str">
        <f>D58</f>
        <v>Network Responsibilites</v>
      </c>
      <c r="H59" s="16" t="s">
        <v>7</v>
      </c>
    </row>
    <row r="60" spans="4:14" ht="45" x14ac:dyDescent="0.25">
      <c r="D60" s="7" t="s">
        <v>16</v>
      </c>
      <c r="E60" s="2" t="s">
        <v>10</v>
      </c>
      <c r="F60" s="8">
        <f t="shared" ref="F60:F61" si="51">IF(E60="Yes",1,0)</f>
        <v>1</v>
      </c>
      <c r="G60" s="9" t="s">
        <v>17</v>
      </c>
      <c r="H60" s="10" t="s">
        <v>5</v>
      </c>
    </row>
    <row r="61" spans="4:14" ht="60" x14ac:dyDescent="0.25">
      <c r="D61" s="7" t="s">
        <v>18</v>
      </c>
      <c r="E61" s="2" t="s">
        <v>10</v>
      </c>
      <c r="F61" s="8">
        <f t="shared" si="51"/>
        <v>1</v>
      </c>
      <c r="G61" s="9" t="s">
        <v>19</v>
      </c>
      <c r="H61" s="10" t="s">
        <v>5</v>
      </c>
    </row>
    <row r="62" spans="4:14" x14ac:dyDescent="0.25">
      <c r="D62" s="7" t="s">
        <v>30</v>
      </c>
      <c r="E62" s="2" t="s">
        <v>29</v>
      </c>
      <c r="F62" s="8">
        <f>IF(E62="None",0,1)</f>
        <v>0</v>
      </c>
      <c r="G62" s="9" t="str">
        <f>D62&amp;E62</f>
        <v>Data switch type: None</v>
      </c>
      <c r="H62" s="10" t="s">
        <v>6</v>
      </c>
    </row>
    <row r="63" spans="4:14" x14ac:dyDescent="0.25">
      <c r="D63" s="7" t="s">
        <v>31</v>
      </c>
      <c r="E63" s="2">
        <v>0</v>
      </c>
      <c r="F63" s="8">
        <f t="shared" ref="F63:F64" si="52">IF(E63&gt;0,1,0)</f>
        <v>0</v>
      </c>
      <c r="G63" s="9" t="str">
        <f t="shared" ref="G63:G64" si="53">D63&amp;E63&amp;" included"</f>
        <v>Number of POE ports configured: 0 included</v>
      </c>
      <c r="H63" s="10" t="s">
        <v>8</v>
      </c>
    </row>
    <row r="64" spans="4:14" x14ac:dyDescent="0.25">
      <c r="D64" s="7" t="s">
        <v>32</v>
      </c>
      <c r="E64" s="2">
        <f>E63</f>
        <v>0</v>
      </c>
      <c r="F64" s="8">
        <f t="shared" si="52"/>
        <v>0</v>
      </c>
      <c r="G64" s="9" t="str">
        <f t="shared" si="53"/>
        <v>Number of POE ports provided: 0 included</v>
      </c>
      <c r="H64" s="10" t="s">
        <v>8</v>
      </c>
      <c r="J64" s="1">
        <f>ROUNDUP(E64/24,0)</f>
        <v>0</v>
      </c>
      <c r="K64" s="23">
        <v>1</v>
      </c>
      <c r="L64" s="27">
        <v>0</v>
      </c>
      <c r="M64" s="1">
        <f t="shared" ref="M64" si="54">(J64*K64)+L64</f>
        <v>0</v>
      </c>
      <c r="N64" s="1" t="s">
        <v>56</v>
      </c>
    </row>
    <row r="65" spans="4:14" ht="18.75" x14ac:dyDescent="0.3">
      <c r="D65" s="11" t="s">
        <v>118</v>
      </c>
      <c r="E65" s="12"/>
      <c r="F65" s="12"/>
      <c r="G65" s="12"/>
      <c r="H65" s="13"/>
    </row>
    <row r="66" spans="4:14" ht="17.25" x14ac:dyDescent="0.25">
      <c r="D66" s="21" t="s">
        <v>22</v>
      </c>
      <c r="E66" s="14"/>
      <c r="F66" s="14">
        <f>F67</f>
        <v>1</v>
      </c>
      <c r="G66" s="15" t="str">
        <f>D66</f>
        <v>Project Management</v>
      </c>
      <c r="H66" s="16" t="s">
        <v>7</v>
      </c>
    </row>
    <row r="67" spans="4:14" ht="75" x14ac:dyDescent="0.25">
      <c r="D67" s="7" t="s">
        <v>23</v>
      </c>
      <c r="E67" s="2" t="s">
        <v>10</v>
      </c>
      <c r="F67" s="8">
        <f>IF(ProjMgmnt="Yes",1,0)</f>
        <v>1</v>
      </c>
      <c r="G67" s="9" t="str">
        <f>SellerCompanyShort&amp;" will assign a Project Manager which will remain engaged throughout the life of the project. The Project Manager will be the main contact throughout the entire implementation process."&amp;IF(E68=0,"","  The project is expected to last "&amp;E68&amp;" weeks.")</f>
        <v>Tech Solutions, Inc. will assign a Project Manager which will remain engaged throughout the life of the project. The Project Manager will be the main contact throughout the entire implementation process.</v>
      </c>
      <c r="H67" s="10" t="s">
        <v>5</v>
      </c>
    </row>
    <row r="68" spans="4:14" x14ac:dyDescent="0.25">
      <c r="D68" s="7" t="s">
        <v>24</v>
      </c>
      <c r="E68" s="2">
        <v>0</v>
      </c>
      <c r="F68" s="8"/>
      <c r="G68" s="9"/>
      <c r="H68" s="10"/>
    </row>
    <row r="69" spans="4:14" ht="17.25" x14ac:dyDescent="0.25">
      <c r="D69" s="21" t="s">
        <v>123</v>
      </c>
      <c r="E69" s="14"/>
      <c r="F69" s="14">
        <f>SUM(F70:F71)</f>
        <v>0</v>
      </c>
      <c r="G69" s="15" t="str">
        <f>D69</f>
        <v>Overtime</v>
      </c>
      <c r="H69" s="16" t="s">
        <v>7</v>
      </c>
    </row>
    <row r="70" spans="4:14" ht="30" x14ac:dyDescent="0.25">
      <c r="D70" s="7" t="s">
        <v>124</v>
      </c>
      <c r="E70" s="40">
        <v>0</v>
      </c>
      <c r="F70" s="8">
        <f t="shared" ref="F70:F71" si="55">IF(E70&gt;0,1,0)</f>
        <v>0</v>
      </c>
      <c r="G70" s="9" t="str">
        <f>TEXT(E70,"0%")&amp;" of technician hours are scheduled as overtime work for this project"</f>
        <v>0% of technician hours are scheduled as overtime work for this project</v>
      </c>
      <c r="H70" s="10" t="s">
        <v>6</v>
      </c>
    </row>
    <row r="71" spans="4:14" ht="30" x14ac:dyDescent="0.25">
      <c r="D71" s="7" t="s">
        <v>125</v>
      </c>
      <c r="E71" s="40">
        <v>0</v>
      </c>
      <c r="F71" s="8">
        <f t="shared" si="55"/>
        <v>0</v>
      </c>
      <c r="G71" s="9" t="str">
        <f>TEXT(E71,"0%")&amp;" of technician hours are scheduled as Sunday/holiday work for this project"</f>
        <v>0% of technician hours are scheduled as Sunday/holiday work for this project</v>
      </c>
      <c r="H71" s="10" t="s">
        <v>6</v>
      </c>
    </row>
    <row r="72" spans="4:14" ht="17.25" x14ac:dyDescent="0.25">
      <c r="D72" s="21" t="s">
        <v>25</v>
      </c>
      <c r="E72" s="14"/>
      <c r="F72" s="14">
        <f>SUM(F73:F74)</f>
        <v>0</v>
      </c>
      <c r="G72" s="15" t="str">
        <f>D72</f>
        <v>Post Cut Support</v>
      </c>
      <c r="H72" s="16" t="s">
        <v>7</v>
      </c>
    </row>
    <row r="73" spans="4:14" ht="30" x14ac:dyDescent="0.25">
      <c r="D73" s="7" t="s">
        <v>26</v>
      </c>
      <c r="E73" s="2">
        <v>0</v>
      </c>
      <c r="F73" s="8">
        <f t="shared" ref="F73:F74" si="56">IF(E73&gt;0,1,0)</f>
        <v>0</v>
      </c>
      <c r="G73" s="9" t="str">
        <f>E73&amp;" hours of remote post-cutover support will be provided"</f>
        <v>0 hours of remote post-cutover support will be provided</v>
      </c>
      <c r="H73" s="10" t="s">
        <v>6</v>
      </c>
      <c r="J73" s="1">
        <f>E73</f>
        <v>0</v>
      </c>
      <c r="K73" s="23">
        <v>1</v>
      </c>
      <c r="L73" s="27">
        <v>0</v>
      </c>
      <c r="M73" s="1">
        <f t="shared" ref="M73" si="57">(J73*K73)+L73</f>
        <v>0</v>
      </c>
      <c r="N73" s="1" t="s">
        <v>56</v>
      </c>
    </row>
    <row r="74" spans="4:14" ht="30" x14ac:dyDescent="0.25">
      <c r="D74" s="7" t="s">
        <v>27</v>
      </c>
      <c r="E74" s="2">
        <v>0</v>
      </c>
      <c r="F74" s="8">
        <f t="shared" si="56"/>
        <v>0</v>
      </c>
      <c r="G74" s="9" t="str">
        <f>E74&amp;" hours of technician support will be provided Monday-Friday, 8:00am-5:00pm"</f>
        <v>0 hours of technician support will be provided Monday-Friday, 8:00am-5:00pm</v>
      </c>
      <c r="H74" s="10" t="s">
        <v>6</v>
      </c>
      <c r="J74" s="1">
        <f>E74</f>
        <v>0</v>
      </c>
      <c r="K74" s="23">
        <v>1</v>
      </c>
      <c r="L74" s="27">
        <v>0</v>
      </c>
      <c r="M74" s="1">
        <f t="shared" ref="M74" si="58">(J74*K74)+L74</f>
        <v>0</v>
      </c>
      <c r="N74" s="1" t="s">
        <v>56</v>
      </c>
    </row>
    <row r="75" spans="4:14" ht="17.25" x14ac:dyDescent="0.25">
      <c r="D75" s="21" t="s">
        <v>122</v>
      </c>
      <c r="E75" s="14"/>
      <c r="F75" s="14">
        <f>SUM(F76:F77)</f>
        <v>0</v>
      </c>
      <c r="G75" s="15" t="str">
        <f>D75</f>
        <v>Training</v>
      </c>
      <c r="H75" s="16" t="s">
        <v>7</v>
      </c>
    </row>
    <row r="76" spans="4:14" x14ac:dyDescent="0.25">
      <c r="D76" s="7" t="s">
        <v>62</v>
      </c>
      <c r="E76" s="2">
        <v>0</v>
      </c>
      <c r="F76" s="8">
        <f t="shared" ref="F76:F77" si="59">IF(E76&gt;0,1,0)</f>
        <v>0</v>
      </c>
      <c r="G76" s="9" t="str">
        <f t="shared" ref="G76:G77" si="60">D76&amp;E76&amp;" included"</f>
        <v>Train the Trainer 4 Hour Classes: 0 included</v>
      </c>
      <c r="H76" s="10" t="s">
        <v>6</v>
      </c>
      <c r="J76" s="1">
        <f>E76</f>
        <v>0</v>
      </c>
      <c r="K76" s="23">
        <v>4</v>
      </c>
      <c r="L76" s="27">
        <v>0</v>
      </c>
      <c r="M76" s="1">
        <f t="shared" ref="M76:M77" si="61">(J76*K76)+L76</f>
        <v>0</v>
      </c>
      <c r="N76" s="1" t="s">
        <v>60</v>
      </c>
    </row>
    <row r="77" spans="4:14" x14ac:dyDescent="0.25">
      <c r="D77" s="7" t="s">
        <v>61</v>
      </c>
      <c r="E77" s="2">
        <v>0</v>
      </c>
      <c r="F77" s="8">
        <f t="shared" si="59"/>
        <v>0</v>
      </c>
      <c r="G77" s="9" t="str">
        <f t="shared" si="60"/>
        <v>End-User Training 1 Hour Classes: 0 included</v>
      </c>
      <c r="H77" s="10" t="s">
        <v>6</v>
      </c>
      <c r="J77" s="1">
        <f>E77</f>
        <v>0</v>
      </c>
      <c r="K77" s="23">
        <v>1</v>
      </c>
      <c r="L77" s="27">
        <v>0</v>
      </c>
      <c r="M77" s="1">
        <f t="shared" si="61"/>
        <v>0</v>
      </c>
      <c r="N77" s="1" t="s">
        <v>60</v>
      </c>
    </row>
    <row r="78" spans="4:14" x14ac:dyDescent="0.25">
      <c r="D78" s="30"/>
      <c r="E78" s="34"/>
      <c r="F78" s="8">
        <f>F77</f>
        <v>0</v>
      </c>
      <c r="G78" s="9" t="s">
        <v>33</v>
      </c>
      <c r="H78" s="10" t="s">
        <v>8</v>
      </c>
    </row>
    <row r="79" spans="4:14" x14ac:dyDescent="0.25">
      <c r="D79" s="7"/>
      <c r="E79" s="8"/>
      <c r="F79" s="8">
        <f>F78</f>
        <v>0</v>
      </c>
      <c r="G79" s="9" t="s">
        <v>34</v>
      </c>
      <c r="H79" s="10" t="s">
        <v>8</v>
      </c>
    </row>
    <row r="80" spans="4:14" x14ac:dyDescent="0.25">
      <c r="D80" s="7" t="s">
        <v>63</v>
      </c>
      <c r="E80" s="2">
        <v>0</v>
      </c>
      <c r="F80" s="8">
        <f t="shared" ref="F80:F84" si="62">IF(E80&gt;0,1,0)</f>
        <v>0</v>
      </c>
      <c r="G80" s="9" t="str">
        <f t="shared" ref="G80:G84" si="63">D80&amp;E80&amp;" included"</f>
        <v>Agent Training 1 Hour Classes: 0 included</v>
      </c>
      <c r="H80" s="10" t="s">
        <v>6</v>
      </c>
      <c r="J80" s="1">
        <f>E80</f>
        <v>0</v>
      </c>
      <c r="K80" s="23">
        <v>1</v>
      </c>
      <c r="L80" s="27">
        <v>0</v>
      </c>
      <c r="M80" s="1">
        <f t="shared" ref="M80:M82" si="64">(J80*K80)+L80</f>
        <v>0</v>
      </c>
      <c r="N80" s="1" t="s">
        <v>60</v>
      </c>
    </row>
    <row r="81" spans="1:27" x14ac:dyDescent="0.25">
      <c r="D81" s="30"/>
      <c r="E81" s="34"/>
      <c r="F81" s="8">
        <f>F80</f>
        <v>0</v>
      </c>
      <c r="G81" s="9" t="s">
        <v>70</v>
      </c>
      <c r="H81" s="10" t="s">
        <v>8</v>
      </c>
      <c r="K81" s="23"/>
      <c r="L81" s="27"/>
    </row>
    <row r="82" spans="1:27" x14ac:dyDescent="0.25">
      <c r="D82" s="7" t="s">
        <v>64</v>
      </c>
      <c r="E82" s="2">
        <v>0</v>
      </c>
      <c r="F82" s="8">
        <f t="shared" si="62"/>
        <v>0</v>
      </c>
      <c r="G82" s="9" t="str">
        <f t="shared" si="63"/>
        <v>Supervisor Training 2 Hour Classes: 0 included</v>
      </c>
      <c r="H82" s="10" t="s">
        <v>6</v>
      </c>
      <c r="J82" s="1">
        <f>E82</f>
        <v>0</v>
      </c>
      <c r="K82" s="23">
        <v>2</v>
      </c>
      <c r="L82" s="27">
        <v>0</v>
      </c>
      <c r="M82" s="1">
        <f t="shared" si="64"/>
        <v>0</v>
      </c>
      <c r="N82" s="1" t="s">
        <v>60</v>
      </c>
    </row>
    <row r="83" spans="1:27" x14ac:dyDescent="0.25">
      <c r="D83" s="30"/>
      <c r="E83" s="34"/>
      <c r="F83" s="8">
        <f>F82</f>
        <v>0</v>
      </c>
      <c r="G83" s="9" t="s">
        <v>35</v>
      </c>
      <c r="H83" s="10" t="s">
        <v>8</v>
      </c>
    </row>
    <row r="84" spans="1:27" ht="30" x14ac:dyDescent="0.25">
      <c r="D84" s="7" t="s">
        <v>65</v>
      </c>
      <c r="E84" s="2">
        <v>0</v>
      </c>
      <c r="F84" s="8">
        <f t="shared" si="62"/>
        <v>0</v>
      </c>
      <c r="G84" s="9" t="str">
        <f t="shared" si="63"/>
        <v>System Admin Training 2 Hour Classes: 0 included</v>
      </c>
      <c r="H84" s="10" t="s">
        <v>6</v>
      </c>
      <c r="J84" s="1">
        <f>E84</f>
        <v>0</v>
      </c>
      <c r="K84" s="23">
        <v>2</v>
      </c>
      <c r="L84" s="27">
        <v>0</v>
      </c>
      <c r="M84" s="1">
        <f t="shared" ref="M84" si="65">(J84*K84)+L84</f>
        <v>0</v>
      </c>
      <c r="N84" s="1" t="s">
        <v>60</v>
      </c>
    </row>
    <row r="85" spans="1:27" x14ac:dyDescent="0.25">
      <c r="D85" s="17"/>
      <c r="E85" s="18"/>
      <c r="F85" s="18">
        <f>F84</f>
        <v>0</v>
      </c>
      <c r="G85" s="19" t="s">
        <v>36</v>
      </c>
      <c r="H85" s="20" t="s">
        <v>8</v>
      </c>
    </row>
    <row r="87" spans="1:27" customFormat="1" x14ac:dyDescent="0.25">
      <c r="A87" s="22" t="s">
        <v>42</v>
      </c>
      <c r="B87" s="22" t="s">
        <v>43</v>
      </c>
      <c r="C87" s="22" t="s">
        <v>44</v>
      </c>
      <c r="D87" s="22" t="s">
        <v>45</v>
      </c>
      <c r="F87" s="31" t="s">
        <v>71</v>
      </c>
      <c r="G87" s="31" t="s">
        <v>72</v>
      </c>
      <c r="H87" s="31" t="s">
        <v>73</v>
      </c>
      <c r="I87" s="31" t="s">
        <v>74</v>
      </c>
      <c r="J87" s="31" t="s">
        <v>75</v>
      </c>
      <c r="K87" s="31" t="s">
        <v>76</v>
      </c>
      <c r="L87" s="32" t="s">
        <v>77</v>
      </c>
      <c r="M87" s="32" t="s">
        <v>78</v>
      </c>
      <c r="N87" s="32" t="s">
        <v>79</v>
      </c>
      <c r="O87" s="32" t="s">
        <v>80</v>
      </c>
      <c r="P87" s="32" t="s">
        <v>81</v>
      </c>
      <c r="Q87" s="32" t="s">
        <v>82</v>
      </c>
      <c r="R87" s="32" t="s">
        <v>83</v>
      </c>
      <c r="S87" s="32" t="s">
        <v>84</v>
      </c>
      <c r="T87" s="32" t="s">
        <v>85</v>
      </c>
      <c r="U87" s="32" t="s">
        <v>86</v>
      </c>
      <c r="V87" s="32" t="s">
        <v>87</v>
      </c>
      <c r="W87" s="32" t="s">
        <v>88</v>
      </c>
      <c r="X87" s="32" t="s">
        <v>89</v>
      </c>
      <c r="Y87" s="32" t="s">
        <v>90</v>
      </c>
      <c r="Z87" s="33"/>
      <c r="AA87" s="32" t="s">
        <v>91</v>
      </c>
    </row>
    <row r="88" spans="1:27" x14ac:dyDescent="0.25">
      <c r="A88" s="28">
        <f>ROUNDUP(M3+B88,0)</f>
        <v>0</v>
      </c>
      <c r="B88" s="29">
        <v>0</v>
      </c>
      <c r="C88" s="1" t="s">
        <v>56</v>
      </c>
      <c r="D88" s="1" t="s">
        <v>66</v>
      </c>
      <c r="F88" s="1">
        <f>ROUND(125*OTFactor,2)</f>
        <v>125</v>
      </c>
      <c r="H88" s="1">
        <f>ROUND(60*OTFactor,2)</f>
        <v>60</v>
      </c>
      <c r="N88" s="1" t="s">
        <v>92</v>
      </c>
      <c r="AA88" s="1" t="s">
        <v>69</v>
      </c>
    </row>
    <row r="89" spans="1:27" x14ac:dyDescent="0.25">
      <c r="A89" s="28">
        <f>ROUNDUP(M4+B89,0)</f>
        <v>0</v>
      </c>
      <c r="B89" s="29">
        <v>0</v>
      </c>
      <c r="C89" s="1" t="s">
        <v>58</v>
      </c>
      <c r="D89" s="1" t="s">
        <v>67</v>
      </c>
      <c r="F89" s="1">
        <v>140</v>
      </c>
      <c r="H89" s="1">
        <v>70</v>
      </c>
      <c r="N89" s="1" t="s">
        <v>92</v>
      </c>
      <c r="AA89" s="1" t="s">
        <v>69</v>
      </c>
    </row>
    <row r="90" spans="1:27" x14ac:dyDescent="0.25">
      <c r="A90" s="28">
        <f>ROUNDUP(M5+B90,0)</f>
        <v>0</v>
      </c>
      <c r="B90" s="29">
        <v>0</v>
      </c>
      <c r="C90" s="1" t="s">
        <v>59</v>
      </c>
      <c r="D90" s="1" t="s">
        <v>22</v>
      </c>
      <c r="F90" s="1">
        <v>150</v>
      </c>
      <c r="H90" s="1">
        <v>75</v>
      </c>
      <c r="N90" s="1" t="s">
        <v>92</v>
      </c>
      <c r="AA90" s="1" t="s">
        <v>69</v>
      </c>
    </row>
    <row r="91" spans="1:27" x14ac:dyDescent="0.25">
      <c r="A91" s="28">
        <f>ROUNDUP(M6+B91,0)</f>
        <v>0</v>
      </c>
      <c r="B91" s="29">
        <v>0</v>
      </c>
      <c r="C91" s="1" t="s">
        <v>60</v>
      </c>
      <c r="D91" s="1" t="s">
        <v>68</v>
      </c>
      <c r="F91" s="1">
        <v>125</v>
      </c>
      <c r="H91" s="1">
        <v>60</v>
      </c>
      <c r="N91" s="1" t="s">
        <v>92</v>
      </c>
      <c r="AA91" s="1" t="s">
        <v>69</v>
      </c>
    </row>
    <row r="93" spans="1:27" x14ac:dyDescent="0.25">
      <c r="A93" s="1" t="s">
        <v>46</v>
      </c>
    </row>
  </sheetData>
  <dataValidations disablePrompts="1" count="3">
    <dataValidation type="list" allowBlank="1" showInputMessage="1" showErrorMessage="1" sqref="E67 E60:E61 E52:E56" xr:uid="{9F76EF0A-B53B-4BE8-9B57-2CD3C6B5076E}">
      <formula1>"Yes,No"</formula1>
    </dataValidation>
    <dataValidation type="list" allowBlank="1" showInputMessage="1" showErrorMessage="1" sqref="E62" xr:uid="{88E95EDD-0452-4E61-A771-2D297839F924}">
      <formula1>"None,Adtran,Cisco"</formula1>
    </dataValidation>
    <dataValidation type="list" allowBlank="1" showInputMessage="1" showErrorMessage="1" sqref="E57" xr:uid="{00D90F16-6261-418D-B4CD-FF48D7E25628}">
      <formula1>"Seller,Customer"</formula1>
    </dataValidation>
  </dataValidations>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E32F6-BB35-4D8D-88AD-96C807878841}">
  <dimension ref="A1:B2"/>
  <sheetViews>
    <sheetView workbookViewId="0"/>
  </sheetViews>
  <sheetFormatPr defaultRowHeight="15" x14ac:dyDescent="0.25"/>
  <cols>
    <col min="1" max="1" width="19.42578125" bestFit="1" customWidth="1"/>
    <col min="2" max="2" width="18.28515625" bestFit="1" customWidth="1"/>
  </cols>
  <sheetData>
    <row r="1" spans="1:2" x14ac:dyDescent="0.25">
      <c r="A1" t="s">
        <v>109</v>
      </c>
      <c r="B1" t="s">
        <v>110</v>
      </c>
    </row>
    <row r="2" spans="1:2" x14ac:dyDescent="0.25">
      <c r="A2" t="s">
        <v>108</v>
      </c>
      <c r="B2"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1C0866355D0E4E941453AA39524CE7" ma:contentTypeVersion="7" ma:contentTypeDescription="Create a new document." ma:contentTypeScope="" ma:versionID="4b81b94ca376aadfb91cc218cf32f10b">
  <xsd:schema xmlns:xsd="http://www.w3.org/2001/XMLSchema" xmlns:xs="http://www.w3.org/2001/XMLSchema" xmlns:p="http://schemas.microsoft.com/office/2006/metadata/properties" xmlns:ns2="db330d58-7892-43e4-81b4-cec9aeff6aec" targetNamespace="http://schemas.microsoft.com/office/2006/metadata/properties" ma:root="true" ma:fieldsID="3bb0fb6006e7d0df20f68997b8d1886b" ns2:_="">
    <xsd:import namespace="db330d58-7892-43e4-81b4-cec9aeff6aec"/>
    <xsd:element name="properties">
      <xsd:complexType>
        <xsd:sequence>
          <xsd:element name="documentManagement">
            <xsd:complexType>
              <xsd:all>
                <xsd:element ref="ns2:MediaServiceMetadata" minOccurs="0"/>
                <xsd:element ref="ns2:MediaServiceFastMetadata" minOccurs="0"/>
                <xsd:element ref="ns2:QuoteID" minOccurs="0"/>
                <xsd:element ref="ns2:QuoteFileName" minOccurs="0"/>
                <xsd:element ref="ns2:OpportunityID"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30d58-7892-43e4-81b4-cec9aeff6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QuoteID" ma:index="10" nillable="true" ma:displayName="QuoteID" ma:indexed="true" ma:internalName="QuoteID">
      <xsd:simpleType>
        <xsd:restriction base="dms:Text"/>
      </xsd:simpleType>
    </xsd:element>
    <xsd:element name="QuoteFileName" ma:index="11" nillable="true" ma:displayName="QuoteFileName" ma:indexed="true" ma:internalName="QuoteFileName">
      <xsd:simpleType>
        <xsd:restriction base="dms:Text"/>
      </xsd:simpleType>
    </xsd:element>
    <xsd:element name="OpportunityID" ma:index="12" nillable="true" ma:displayName="OpportunityID" ma:indexed="true" ma:internalName="OpportunityID">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QuoteID xmlns="db330d58-7892-43e4-81b4-cec9aeff6aec" xsi:nil="true"/>
    <OpportunityID xmlns="db330d58-7892-43e4-81b4-cec9aeff6aec" xsi:nil="true"/>
    <QuoteFileName xmlns="db330d58-7892-43e4-81b4-cec9aeff6aec" xsi:nil="true"/>
  </documentManagement>
</p:properties>
</file>

<file path=customXml/itemProps1.xml><?xml version="1.0" encoding="utf-8"?>
<ds:datastoreItem xmlns:ds="http://schemas.openxmlformats.org/officeDocument/2006/customXml" ds:itemID="{99C60114-844F-42BF-8C3B-339D3E2F8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30d58-7892-43e4-81b4-cec9aeff6a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FD3E52-231D-4089-9D79-8727530AC475}">
  <ds:schemaRefs>
    <ds:schemaRef ds:uri="http://schemas.microsoft.com/sharepoint/v3/contenttype/forms"/>
  </ds:schemaRefs>
</ds:datastoreItem>
</file>

<file path=customXml/itemProps3.xml><?xml version="1.0" encoding="utf-8"?>
<ds:datastoreItem xmlns:ds="http://schemas.openxmlformats.org/officeDocument/2006/customXml" ds:itemID="{8E0E3DF9-8BC7-4680-BAF9-A22BEF8A64E8}">
  <ds:schemaRefs>
    <ds:schemaRef ds:uri="http://schemas.microsoft.com/office/2006/metadata/properties"/>
    <ds:schemaRef ds:uri="http://schemas.microsoft.com/office/infopath/2007/PartnerControls"/>
    <ds:schemaRef ds:uri="db330d58-7892-43e4-81b4-cec9aeff6a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Sheet1</vt:lpstr>
      <vt:lpstr>Temp Rangenames</vt:lpstr>
      <vt:lpstr>CustomerName</vt:lpstr>
      <vt:lpstr>DocContentSOW</vt:lpstr>
      <vt:lpstr>LaborHours</vt:lpstr>
      <vt:lpstr>LaborType</vt:lpstr>
      <vt:lpstr>OTFactor</vt:lpstr>
      <vt:lpstr>OTHolidayPercent</vt:lpstr>
      <vt:lpstr>OTPercent</vt:lpstr>
      <vt:lpstr>ProjMgmnt</vt:lpstr>
      <vt:lpstr>SellerCompanyShort</vt:lpstr>
      <vt:lpstr>TechHours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Cors</dc:creator>
  <cp:lastModifiedBy>Christie Collier</cp:lastModifiedBy>
  <dcterms:created xsi:type="dcterms:W3CDTF">2020-04-27T14:49:21Z</dcterms:created>
  <dcterms:modified xsi:type="dcterms:W3CDTF">2021-02-05T21:21:27Z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0x010100861C0866355D0E4E941453AA39524CE7</vt:lpwstr>
  </property>
</Properties>
</file>